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https://unigech-my.sharepoint.com/personal/shaula_fiorelli_unige_ch/Documents/Mathscope-Int/AA-RevisionActivites/FichesPauline/"/>
    </mc:Choice>
  </mc:AlternateContent>
  <xr:revisionPtr revIDLastSave="1567" documentId="8_{0CB670F6-A2E7-4D4E-88BD-FCBA663B5B43}" xr6:coauthVersionLast="47" xr6:coauthVersionMax="47" xr10:uidLastSave="{73B15640-0B3F-A04C-A4D3-B7128A94B2B6}"/>
  <bookViews>
    <workbookView xWindow="0" yWindow="0" windowWidth="44800" windowHeight="25200" xr2:uid="{B674A299-A0BF-6B4B-857E-DD9F2D8A9E93}"/>
  </bookViews>
  <sheets>
    <sheet name="Tableaux Proba" sheetId="1" r:id="rId1"/>
    <sheet name="Nb lancers fixés" sheetId="3" r:id="rId2"/>
    <sheet name="Nb lancers gagnants" sheetId="2" r:id="rId3"/>
  </sheet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3" l="1"/>
  <c r="H22" i="3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D22" i="3"/>
  <c r="F11" i="3" a="1"/>
  <c r="F11" i="3" s="1"/>
  <c r="F12" i="3" s="1" a="1"/>
  <c r="F12" i="3" s="1"/>
  <c r="C10" i="3"/>
  <c r="B10" i="3"/>
  <c r="C9" i="3"/>
  <c r="B9" i="3"/>
  <c r="C8" i="3"/>
  <c r="B8" i="3"/>
  <c r="C7" i="3"/>
  <c r="B7" i="3"/>
  <c r="C6" i="3"/>
  <c r="B6" i="3"/>
  <c r="C5" i="3"/>
  <c r="B5" i="3"/>
  <c r="C11" i="2"/>
  <c r="B11" i="2"/>
  <c r="C10" i="2"/>
  <c r="B10" i="2"/>
  <c r="C9" i="2"/>
  <c r="B9" i="2"/>
  <c r="F12" i="2" a="1"/>
  <c r="F12" i="2" s="1"/>
  <c r="Y29" i="1"/>
  <c r="X27" i="1"/>
  <c r="Y27" i="1"/>
  <c r="X28" i="1"/>
  <c r="Y28" i="1"/>
  <c r="X29" i="1"/>
  <c r="W29" i="1"/>
  <c r="W28" i="1"/>
  <c r="W27" i="1"/>
  <c r="S27" i="1"/>
  <c r="T27" i="1"/>
  <c r="S28" i="1"/>
  <c r="T28" i="1"/>
  <c r="S29" i="1"/>
  <c r="T29" i="1"/>
  <c r="R29" i="1"/>
  <c r="R28" i="1"/>
  <c r="R27" i="1"/>
  <c r="Y20" i="1"/>
  <c r="Y19" i="1"/>
  <c r="X19" i="1"/>
  <c r="X20" i="1"/>
  <c r="X18" i="1"/>
  <c r="W20" i="1"/>
  <c r="W19" i="1"/>
  <c r="W18" i="1"/>
  <c r="T18" i="1"/>
  <c r="S18" i="1"/>
  <c r="S19" i="1"/>
  <c r="T19" i="1"/>
  <c r="S20" i="1"/>
  <c r="T20" i="1"/>
  <c r="R20" i="1"/>
  <c r="R19" i="1"/>
  <c r="R18" i="1"/>
  <c r="S9" i="1"/>
  <c r="T9" i="1"/>
  <c r="S10" i="1"/>
  <c r="T10" i="1"/>
  <c r="S11" i="1"/>
  <c r="T11" i="1"/>
  <c r="R11" i="1"/>
  <c r="R10" i="1"/>
  <c r="R9" i="1"/>
  <c r="Y18" i="1"/>
  <c r="X9" i="1"/>
  <c r="Y9" i="1"/>
  <c r="X10" i="1"/>
  <c r="Y10" i="1"/>
  <c r="X11" i="1"/>
  <c r="Y11" i="1"/>
  <c r="W10" i="1"/>
  <c r="W11" i="1"/>
  <c r="W9" i="1"/>
  <c r="K17" i="2"/>
  <c r="H23" i="2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K61" i="2"/>
  <c r="B6" i="2"/>
  <c r="C6" i="2"/>
  <c r="B7" i="2"/>
  <c r="C7" i="2"/>
  <c r="B8" i="2"/>
  <c r="C8" i="2"/>
  <c r="C24" i="1"/>
  <c r="C25" i="1"/>
  <c r="C26" i="1"/>
  <c r="C27" i="1"/>
  <c r="C28" i="1"/>
  <c r="C29" i="1"/>
  <c r="D25" i="1"/>
  <c r="E25" i="1"/>
  <c r="F25" i="1"/>
  <c r="G25" i="1"/>
  <c r="H25" i="1"/>
  <c r="D26" i="1"/>
  <c r="E26" i="1"/>
  <c r="F26" i="1"/>
  <c r="G26" i="1"/>
  <c r="H26" i="1"/>
  <c r="D27" i="1"/>
  <c r="E27" i="1"/>
  <c r="F27" i="1"/>
  <c r="G27" i="1"/>
  <c r="H27" i="1"/>
  <c r="D28" i="1"/>
  <c r="E28" i="1"/>
  <c r="F28" i="1"/>
  <c r="G28" i="1"/>
  <c r="H28" i="1"/>
  <c r="D29" i="1"/>
  <c r="E29" i="1"/>
  <c r="F29" i="1"/>
  <c r="G29" i="1"/>
  <c r="H29" i="1"/>
  <c r="E24" i="1"/>
  <c r="F24" i="1"/>
  <c r="G24" i="1"/>
  <c r="H24" i="1"/>
  <c r="D24" i="1"/>
  <c r="E17" i="2"/>
  <c r="D22" i="2"/>
  <c r="C16" i="1"/>
  <c r="D16" i="1"/>
  <c r="E16" i="1"/>
  <c r="F16" i="1"/>
  <c r="G16" i="1"/>
  <c r="H16" i="1"/>
  <c r="C17" i="1"/>
  <c r="D17" i="1"/>
  <c r="E17" i="1"/>
  <c r="F17" i="1"/>
  <c r="G17" i="1"/>
  <c r="H17" i="1"/>
  <c r="C18" i="1"/>
  <c r="D18" i="1"/>
  <c r="E18" i="1"/>
  <c r="F18" i="1"/>
  <c r="G18" i="1"/>
  <c r="H18" i="1"/>
  <c r="C19" i="1"/>
  <c r="D19" i="1"/>
  <c r="E19" i="1"/>
  <c r="F19" i="1"/>
  <c r="G19" i="1"/>
  <c r="H19" i="1"/>
  <c r="C20" i="1"/>
  <c r="D20" i="1"/>
  <c r="E20" i="1"/>
  <c r="F20" i="1"/>
  <c r="G20" i="1"/>
  <c r="H20" i="1"/>
  <c r="D15" i="1"/>
  <c r="E15" i="1"/>
  <c r="F15" i="1"/>
  <c r="G15" i="1"/>
  <c r="H15" i="1"/>
  <c r="C15" i="1"/>
  <c r="H7" i="1"/>
  <c r="H8" i="1"/>
  <c r="H9" i="1"/>
  <c r="H10" i="1"/>
  <c r="H11" i="1"/>
  <c r="G7" i="1"/>
  <c r="G8" i="1"/>
  <c r="G9" i="1"/>
  <c r="G10" i="1"/>
  <c r="G11" i="1"/>
  <c r="F7" i="1"/>
  <c r="F8" i="1"/>
  <c r="F9" i="1"/>
  <c r="F10" i="1"/>
  <c r="F11" i="1"/>
  <c r="E7" i="1"/>
  <c r="E8" i="1"/>
  <c r="E9" i="1"/>
  <c r="E10" i="1"/>
  <c r="E11" i="1"/>
  <c r="D7" i="1"/>
  <c r="D8" i="1"/>
  <c r="D9" i="1"/>
  <c r="D10" i="1"/>
  <c r="D11" i="1"/>
  <c r="D6" i="1"/>
  <c r="E6" i="1"/>
  <c r="F6" i="1"/>
  <c r="G6" i="1"/>
  <c r="H6" i="1"/>
  <c r="C6" i="1"/>
  <c r="C7" i="1"/>
  <c r="C8" i="1"/>
  <c r="C9" i="1"/>
  <c r="C10" i="1"/>
  <c r="C11" i="1"/>
  <c r="F16" i="3" a="1"/>
  <c r="E16" i="3" a="1"/>
  <c r="E18" i="2" a="1"/>
  <c r="F18" i="2" a="1"/>
  <c r="AC28" i="1" l="1"/>
  <c r="AC29" i="1" s="1"/>
  <c r="D11" i="2" s="1"/>
  <c r="D23" i="3"/>
  <c r="E16" i="3"/>
  <c r="F16" i="3"/>
  <c r="AB28" i="1"/>
  <c r="AB29" i="1" s="1"/>
  <c r="H41" i="2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F18" i="2"/>
  <c r="K21" i="2" s="1"/>
  <c r="E18" i="2"/>
  <c r="L10" i="1"/>
  <c r="L11" i="1" s="1"/>
  <c r="K28" i="1"/>
  <c r="K29" i="1" s="1"/>
  <c r="L28" i="1"/>
  <c r="L29" i="1" s="1"/>
  <c r="K10" i="1"/>
  <c r="K19" i="1"/>
  <c r="K20" i="1" s="1"/>
  <c r="L19" i="1"/>
  <c r="L20" i="1" s="1"/>
  <c r="D23" i="2"/>
  <c r="D10" i="3" l="1"/>
  <c r="D7" i="2"/>
  <c r="D6" i="3"/>
  <c r="E11" i="2"/>
  <c r="E10" i="3"/>
  <c r="E8" i="2"/>
  <c r="E7" i="3"/>
  <c r="D8" i="2"/>
  <c r="D7" i="3"/>
  <c r="E7" i="2"/>
  <c r="E6" i="3"/>
  <c r="E6" i="2"/>
  <c r="E5" i="3"/>
  <c r="K20" i="3"/>
  <c r="F20" i="3"/>
  <c r="I36" i="3"/>
  <c r="I39" i="3"/>
  <c r="I37" i="3"/>
  <c r="I40" i="3"/>
  <c r="I41" i="3"/>
  <c r="I42" i="3"/>
  <c r="I43" i="3"/>
  <c r="I44" i="3"/>
  <c r="I38" i="3"/>
  <c r="I45" i="3"/>
  <c r="K45" i="3" s="1"/>
  <c r="D24" i="3"/>
  <c r="E20" i="3"/>
  <c r="J20" i="3"/>
  <c r="F21" i="2"/>
  <c r="J21" i="2"/>
  <c r="E21" i="2"/>
  <c r="K11" i="1"/>
  <c r="D24" i="2"/>
  <c r="E17" i="3" a="1"/>
  <c r="F17" i="3" a="1"/>
  <c r="F19" i="2" a="1"/>
  <c r="E19" i="2" a="1"/>
  <c r="E17" i="3" l="1"/>
  <c r="F19" i="2"/>
  <c r="F17" i="3"/>
  <c r="F24" i="3" s="1"/>
  <c r="D6" i="2"/>
  <c r="D5" i="3"/>
  <c r="K44" i="3"/>
  <c r="K42" i="3"/>
  <c r="K43" i="3"/>
  <c r="K41" i="3"/>
  <c r="K40" i="3"/>
  <c r="J41" i="3"/>
  <c r="J36" i="3"/>
  <c r="J40" i="3"/>
  <c r="J42" i="3"/>
  <c r="J38" i="3"/>
  <c r="J43" i="3"/>
  <c r="J39" i="3"/>
  <c r="J37" i="3"/>
  <c r="J44" i="3"/>
  <c r="D25" i="3"/>
  <c r="E19" i="2"/>
  <c r="E24" i="2" s="1"/>
  <c r="D25" i="2"/>
  <c r="F25" i="3" l="1"/>
  <c r="I33" i="3"/>
  <c r="J45" i="3" s="1"/>
  <c r="I35" i="3"/>
  <c r="I34" i="3"/>
  <c r="I32" i="3"/>
  <c r="E27" i="3"/>
  <c r="I26" i="3"/>
  <c r="I23" i="3"/>
  <c r="E24" i="3"/>
  <c r="E31" i="3"/>
  <c r="E28" i="3"/>
  <c r="I29" i="3"/>
  <c r="I31" i="3"/>
  <c r="E30" i="3"/>
  <c r="I21" i="3"/>
  <c r="E21" i="3"/>
  <c r="E33" i="3"/>
  <c r="I24" i="3"/>
  <c r="E29" i="3"/>
  <c r="I30" i="3"/>
  <c r="E22" i="3"/>
  <c r="I27" i="3"/>
  <c r="E23" i="3"/>
  <c r="I28" i="3"/>
  <c r="E25" i="3"/>
  <c r="E32" i="3"/>
  <c r="E26" i="3"/>
  <c r="I22" i="3"/>
  <c r="I25" i="3"/>
  <c r="F23" i="3"/>
  <c r="F21" i="3"/>
  <c r="F22" i="3"/>
  <c r="D26" i="3"/>
  <c r="F26" i="3" s="1"/>
  <c r="E25" i="2"/>
  <c r="E22" i="2"/>
  <c r="I22" i="2"/>
  <c r="E23" i="2"/>
  <c r="D26" i="2"/>
  <c r="E26" i="2" s="1"/>
  <c r="K22" i="3" l="1"/>
  <c r="J32" i="3"/>
  <c r="J33" i="3"/>
  <c r="J35" i="3"/>
  <c r="J34" i="3"/>
  <c r="J25" i="3"/>
  <c r="J29" i="3"/>
  <c r="J26" i="3"/>
  <c r="J30" i="3"/>
  <c r="J23" i="3"/>
  <c r="J22" i="3"/>
  <c r="J31" i="3"/>
  <c r="K21" i="3"/>
  <c r="J28" i="3"/>
  <c r="J24" i="3"/>
  <c r="I18" i="3" a="1"/>
  <c r="I18" i="3" s="1"/>
  <c r="J27" i="3"/>
  <c r="J21" i="3"/>
  <c r="D27" i="3"/>
  <c r="F27" i="3" s="1"/>
  <c r="F23" i="2"/>
  <c r="F25" i="2"/>
  <c r="J22" i="2"/>
  <c r="K22" i="2"/>
  <c r="F22" i="2"/>
  <c r="F24" i="2"/>
  <c r="D27" i="2"/>
  <c r="E27" i="2" s="1"/>
  <c r="F26" i="2"/>
  <c r="D28" i="3" l="1"/>
  <c r="F28" i="3" s="1"/>
  <c r="K23" i="3"/>
  <c r="I23" i="2"/>
  <c r="K23" i="2" s="1"/>
  <c r="D28" i="2"/>
  <c r="E28" i="2" s="1"/>
  <c r="F27" i="2"/>
  <c r="D29" i="3" l="1"/>
  <c r="F29" i="3" s="1"/>
  <c r="J23" i="2"/>
  <c r="I24" i="2" s="1"/>
  <c r="K24" i="2" s="1"/>
  <c r="D29" i="2"/>
  <c r="E29" i="2" s="1"/>
  <c r="F28" i="2"/>
  <c r="D30" i="3" l="1"/>
  <c r="F30" i="3" s="1"/>
  <c r="K24" i="3"/>
  <c r="J24" i="2"/>
  <c r="I25" i="2" s="1"/>
  <c r="D30" i="2"/>
  <c r="E30" i="2" s="1"/>
  <c r="F29" i="2"/>
  <c r="D31" i="3" l="1"/>
  <c r="F31" i="3" s="1"/>
  <c r="K25" i="2"/>
  <c r="J25" i="2"/>
  <c r="D31" i="2"/>
  <c r="F30" i="2"/>
  <c r="D32" i="3" l="1"/>
  <c r="F32" i="3" s="1"/>
  <c r="K25" i="3"/>
  <c r="I26" i="2"/>
  <c r="K26" i="2" s="1"/>
  <c r="D32" i="2"/>
  <c r="E31" i="2"/>
  <c r="D33" i="3" l="1"/>
  <c r="K26" i="3"/>
  <c r="J26" i="2"/>
  <c r="I27" i="2" s="1"/>
  <c r="K27" i="2" s="1"/>
  <c r="F31" i="2"/>
  <c r="D33" i="2"/>
  <c r="E32" i="2"/>
  <c r="F33" i="3" l="1"/>
  <c r="K27" i="3"/>
  <c r="J27" i="2"/>
  <c r="I28" i="2" s="1"/>
  <c r="K28" i="2" s="1"/>
  <c r="F32" i="2"/>
  <c r="D34" i="2"/>
  <c r="E33" i="2"/>
  <c r="K28" i="3" l="1"/>
  <c r="J28" i="2"/>
  <c r="I29" i="2" s="1"/>
  <c r="K29" i="2" s="1"/>
  <c r="F33" i="2"/>
  <c r="D35" i="2"/>
  <c r="E34" i="2"/>
  <c r="K29" i="3" l="1"/>
  <c r="J29" i="2"/>
  <c r="I30" i="2" s="1"/>
  <c r="K30" i="2" s="1"/>
  <c r="F34" i="2"/>
  <c r="D36" i="2"/>
  <c r="E35" i="2"/>
  <c r="F35" i="2" s="1"/>
  <c r="K30" i="3" l="1"/>
  <c r="J30" i="2"/>
  <c r="D37" i="2"/>
  <c r="E36" i="2"/>
  <c r="I31" i="2" l="1"/>
  <c r="K31" i="2" s="1"/>
  <c r="F36" i="2"/>
  <c r="D38" i="2"/>
  <c r="E37" i="2"/>
  <c r="K31" i="3" l="1"/>
  <c r="J31" i="2"/>
  <c r="F37" i="2"/>
  <c r="D39" i="2"/>
  <c r="E38" i="2"/>
  <c r="K32" i="3" l="1"/>
  <c r="I32" i="2"/>
  <c r="K32" i="2" s="1"/>
  <c r="F38" i="2"/>
  <c r="D40" i="2"/>
  <c r="E39" i="2"/>
  <c r="F39" i="2" l="1"/>
  <c r="D41" i="2"/>
  <c r="E41" i="2" s="1"/>
  <c r="E40" i="2"/>
  <c r="K33" i="3" l="1"/>
  <c r="J32" i="2"/>
  <c r="F40" i="2"/>
  <c r="F41" i="2"/>
  <c r="I33" i="2" l="1"/>
  <c r="K33" i="2" s="1"/>
  <c r="K34" i="3" l="1"/>
  <c r="J33" i="2"/>
  <c r="I34" i="2" s="1"/>
  <c r="K34" i="2" s="1"/>
  <c r="K35" i="3" l="1"/>
  <c r="J34" i="2"/>
  <c r="I35" i="2" s="1"/>
  <c r="K35" i="2" s="1"/>
  <c r="J35" i="2" l="1"/>
  <c r="K36" i="3" l="1"/>
  <c r="I36" i="2"/>
  <c r="K36" i="2" s="1"/>
  <c r="J36" i="2"/>
  <c r="K37" i="3" l="1"/>
  <c r="I37" i="2"/>
  <c r="K37" i="2" s="1"/>
  <c r="J37" i="2" l="1"/>
  <c r="I38" i="2" s="1"/>
  <c r="K38" i="2" s="1"/>
  <c r="K38" i="3"/>
  <c r="J38" i="2" l="1"/>
  <c r="I39" i="2" s="1"/>
  <c r="K39" i="2" s="1"/>
  <c r="J39" i="2" l="1"/>
  <c r="I40" i="2" s="1"/>
  <c r="K40" i="2" s="1"/>
  <c r="K39" i="3"/>
  <c r="J40" i="2" l="1"/>
  <c r="I41" i="2" s="1"/>
  <c r="K41" i="2" s="1"/>
  <c r="J41" i="2" l="1"/>
  <c r="I42" i="2" s="1"/>
  <c r="K42" i="2" s="1"/>
  <c r="J42" i="2" l="1"/>
  <c r="I43" i="2" l="1"/>
  <c r="K43" i="2" s="1"/>
  <c r="J43" i="2"/>
  <c r="I44" i="2" l="1"/>
  <c r="K44" i="2" s="1"/>
  <c r="J44" i="2" l="1"/>
  <c r="I45" i="2" s="1"/>
  <c r="K45" i="2" s="1"/>
  <c r="J45" i="2" l="1"/>
  <c r="I46" i="2" s="1"/>
  <c r="K46" i="2" s="1"/>
  <c r="J46" i="2" l="1"/>
  <c r="I47" i="2" s="1"/>
  <c r="K47" i="2" s="1"/>
  <c r="J47" i="2" l="1"/>
  <c r="I48" i="2" s="1"/>
  <c r="K48" i="2" s="1"/>
  <c r="J48" i="2" l="1"/>
  <c r="I49" i="2" s="1"/>
  <c r="K49" i="2" s="1"/>
  <c r="J49" i="2" l="1"/>
  <c r="I50" i="2" s="1"/>
  <c r="K50" i="2" s="1"/>
  <c r="J50" i="2" l="1"/>
  <c r="I51" i="2" s="1"/>
  <c r="K51" i="2" s="1"/>
  <c r="J51" i="2" l="1"/>
  <c r="I52" i="2" s="1"/>
  <c r="K52" i="2" s="1"/>
  <c r="J52" i="2" l="1"/>
  <c r="J53" i="2" l="1"/>
  <c r="I53" i="2"/>
  <c r="K53" i="2" s="1"/>
  <c r="J54" i="2" l="1"/>
  <c r="I54" i="2"/>
  <c r="K54" i="2" s="1"/>
  <c r="I55" i="2" l="1"/>
  <c r="K55" i="2" s="1"/>
  <c r="J55" i="2" l="1"/>
  <c r="J56" i="2" l="1"/>
  <c r="I56" i="2"/>
  <c r="K56" i="2" s="1"/>
  <c r="J57" i="2" l="1"/>
  <c r="I57" i="2"/>
  <c r="K57" i="2" s="1"/>
  <c r="J58" i="2" l="1"/>
  <c r="I58" i="2"/>
  <c r="K58" i="2" s="1"/>
  <c r="I59" i="2" l="1"/>
  <c r="K59" i="2" s="1"/>
  <c r="J59" i="2"/>
  <c r="J60" i="2" l="1"/>
  <c r="I60" i="2"/>
  <c r="K60" i="2" s="1"/>
  <c r="I19" i="2" a="1"/>
  <c r="I19" i="2" s="1"/>
  <c r="AC10" i="1"/>
  <c r="AC11" i="1" s="1"/>
  <c r="AB10" i="1"/>
  <c r="AB11" i="1" s="1"/>
  <c r="AB19" i="1"/>
  <c r="AB20" i="1" s="1"/>
  <c r="AC19" i="1"/>
  <c r="AC20" i="1" s="1"/>
  <c r="D10" i="2" l="1"/>
  <c r="D9" i="3"/>
  <c r="E9" i="2"/>
  <c r="E8" i="3"/>
  <c r="E10" i="2"/>
  <c r="E9" i="3"/>
  <c r="D9" i="2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<sst xmlns="http://schemas.openxmlformats.org/spreadsheetml/2006/main" count="85" uniqueCount="42">
  <si>
    <t>Tableaux des résultats possibles et leurs probabilités</t>
  </si>
  <si>
    <t>Cette page est calculée automatiquement</t>
  </si>
  <si>
    <t>Jeu à 1 dé</t>
  </si>
  <si>
    <t>Jeu à 2 dés</t>
  </si>
  <si>
    <t>Noir/Bleu</t>
  </si>
  <si>
    <t>Issues possibles</t>
  </si>
  <si>
    <t>Nb occurrences</t>
  </si>
  <si>
    <t>Cas</t>
  </si>
  <si>
    <t>N</t>
  </si>
  <si>
    <t>B</t>
  </si>
  <si>
    <t>2N</t>
  </si>
  <si>
    <t>2B</t>
  </si>
  <si>
    <t>Total</t>
  </si>
  <si>
    <t>Probabilité de gain</t>
  </si>
  <si>
    <t>Bleu/Blanc</t>
  </si>
  <si>
    <t>W</t>
  </si>
  <si>
    <t>2W</t>
  </si>
  <si>
    <t>Blanc/Noir</t>
  </si>
  <si>
    <t>Jeu avec un nombre de lancers fixé</t>
  </si>
  <si>
    <t>Match</t>
  </si>
  <si>
    <t>Proba 1</t>
  </si>
  <si>
    <t>Proba 2</t>
  </si>
  <si>
    <t>Dés utilisés</t>
  </si>
  <si>
    <t>Choisir la paire de dés en mettant un "x" dans la ligne correspondante</t>
  </si>
  <si>
    <t>x</t>
  </si>
  <si>
    <t>Ce tableau est calculé automatiquement</t>
  </si>
  <si>
    <t>Pour lancer une nouvelle simulation, double-cliquez sur la case verte et tapez enter</t>
  </si>
  <si>
    <t>Nombre de lancers</t>
  </si>
  <si>
    <t>Indiquer un nombre de lancers &lt;=25</t>
  </si>
  <si>
    <t>Probabilités</t>
  </si>
  <si>
    <t>Simulation d'une partie</t>
  </si>
  <si>
    <t>Double-cliquez sur la case verte et tapez enter</t>
  </si>
  <si>
    <t>Dé gagnant:</t>
  </si>
  <si>
    <t>Nb de lancers = x</t>
  </si>
  <si>
    <t>Lancers</t>
  </si>
  <si>
    <t>Résultat</t>
  </si>
  <si>
    <t>On choisit un nombre de lancers impair afin d'éviter les matches nuls.</t>
  </si>
  <si>
    <t>Jeu avec un nombre de lancers gagnants</t>
  </si>
  <si>
    <t>Nombre de lancers gagnants</t>
  </si>
  <si>
    <t>Indiquer un nombre de lancers &lt;21</t>
  </si>
  <si>
    <t>Pour lancer une nouvelle simulation, double-cliquez sur la case verte et tapez enter. Le tableau est alors calculé automatiquement.</t>
  </si>
  <si>
    <t>Jeu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</si>
</sst>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3">
    <font>
      <sz val="12"/>
      <color theme="1"/>
      <name val="Aptos Narrow"/>
      <family val="2"/>
      <scheme val="minor"/>
    </font>
    <font>
      <i/>
      <sz val="11"/>
      <color theme="1"/>
      <name val="Helvetica"/>
      <family val="2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i/>
      <sz val="11"/>
      <color theme="0"/>
      <name val="Helvetica"/>
      <family val="2"/>
    </font>
    <font>
      <i/>
      <sz val="12"/>
      <color theme="0"/>
      <name val="Aptos Narrow"/>
      <scheme val="minor"/>
    </font>
    <font>
      <b/>
      <i/>
      <sz val="11"/>
      <color theme="0"/>
      <name val="Helvetica"/>
      <family val="2"/>
    </font>
    <font>
      <b/>
      <i/>
      <sz val="11"/>
      <color theme="0"/>
      <name val="Aptos Narrow"/>
      <scheme val="minor"/>
    </font>
    <font>
      <sz val="11"/>
      <color theme="1"/>
      <name val="Aptos Narrow"/>
      <family val="2"/>
      <scheme val="minor"/>
    </font>
    <font>
      <b/>
      <i/>
      <sz val="11"/>
      <color theme="1"/>
      <name val="Helvetica"/>
      <family val="2"/>
    </font>
    <font>
      <b/>
      <i/>
      <sz val="12"/>
      <color theme="1"/>
      <name val="Aptos Narrow"/>
      <scheme val="minor"/>
    </font>
    <font>
      <sz val="18"/>
      <color theme="3"/>
      <name val="Aptos Display"/>
      <family val="2"/>
      <scheme val="maj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i/>
      <sz val="12"/>
      <color theme="1"/>
      <name val="Aptos Narrow"/>
      <scheme val="minor"/>
    </font>
    <font>
      <sz val="12"/>
      <color theme="9" tint="-0.249977111117893"/>
      <name val="Aptos Narrow"/>
      <family val="2"/>
      <scheme val="minor"/>
    </font>
    <font>
      <sz val="12"/>
      <color theme="1"/>
      <name val="Aptos"/>
    </font>
    <font>
      <b/>
      <sz val="14"/>
      <color theme="1"/>
      <name val="Aptos Narrow"/>
      <scheme val="minor"/>
    </font>
    <font>
      <sz val="22"/>
      <color theme="3"/>
      <name val="Aptos Display"/>
      <family val="2"/>
      <scheme val="major"/>
    </font>
    <font>
      <sz val="22"/>
      <color theme="1"/>
      <name val="Aptos Narrow"/>
      <family val="2"/>
      <scheme val="minor"/>
    </font>
    <font>
      <b/>
      <sz val="18"/>
      <color theme="3"/>
      <name val="Aptos Display (En-têtes)"/>
    </font>
    <font>
      <i/>
      <sz val="12"/>
      <color theme="1"/>
      <name val="Aptos Narrow"/>
      <family val="2"/>
      <scheme val="minor"/>
    </font>
    <font>
      <i/>
      <sz val="12"/>
      <color theme="3"/>
      <name val="Aptos Display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" fillId="6" borderId="0" applyNumberFormat="0" applyBorder="0" applyAlignment="0" applyProtection="0"/>
  </cellStyleXfs>
  <cellXfs count="214">
    <xf numFmtId="0" fontId="0" fillId="0" borderId="0" xfId="0"/>
    <xf numFmtId="9" fontId="0" fillId="0" borderId="0" xfId="1" applyFont="1"/>
    <xf numFmtId="164" fontId="0" fillId="0" borderId="0" xfId="1" applyNumberFormat="1" applyFont="1"/>
    <xf numFmtId="9" fontId="0" fillId="0" borderId="0" xfId="0" applyNumberFormat="1"/>
    <xf numFmtId="0" fontId="0" fillId="0" borderId="3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16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6" xfId="0" applyBorder="1"/>
    <xf numFmtId="0" fontId="0" fillId="0" borderId="29" xfId="0" applyBorder="1"/>
    <xf numFmtId="0" fontId="0" fillId="0" borderId="30" xfId="0" applyBorder="1" applyAlignment="1">
      <alignment wrapText="1"/>
    </xf>
    <xf numFmtId="0" fontId="6" fillId="3" borderId="24" xfId="0" applyFont="1" applyFill="1" applyBorder="1"/>
    <xf numFmtId="0" fontId="6" fillId="3" borderId="25" xfId="0" applyFont="1" applyFill="1" applyBorder="1"/>
    <xf numFmtId="0" fontId="6" fillId="3" borderId="26" xfId="0" applyFont="1" applyFill="1" applyBorder="1"/>
    <xf numFmtId="0" fontId="7" fillId="2" borderId="18" xfId="0" applyFont="1" applyFill="1" applyBorder="1"/>
    <xf numFmtId="0" fontId="7" fillId="2" borderId="19" xfId="0" applyFont="1" applyFill="1" applyBorder="1"/>
    <xf numFmtId="10" fontId="0" fillId="0" borderId="11" xfId="1" applyNumberFormat="1" applyFont="1" applyBorder="1"/>
    <xf numFmtId="10" fontId="0" fillId="0" borderId="13" xfId="1" applyNumberFormat="1" applyFont="1" applyBorder="1"/>
    <xf numFmtId="0" fontId="7" fillId="3" borderId="20" xfId="0" applyFont="1" applyFill="1" applyBorder="1"/>
    <xf numFmtId="0" fontId="7" fillId="2" borderId="17" xfId="0" applyFont="1" applyFill="1" applyBorder="1"/>
    <xf numFmtId="0" fontId="7" fillId="3" borderId="17" xfId="0" applyFont="1" applyFill="1" applyBorder="1"/>
    <xf numFmtId="0" fontId="7" fillId="3" borderId="33" xfId="0" applyFont="1" applyFill="1" applyBorder="1"/>
    <xf numFmtId="0" fontId="7" fillId="2" borderId="34" xfId="0" applyFont="1" applyFill="1" applyBorder="1"/>
    <xf numFmtId="0" fontId="7" fillId="2" borderId="25" xfId="0" applyFont="1" applyFill="1" applyBorder="1"/>
    <xf numFmtId="0" fontId="7" fillId="2" borderId="26" xfId="0" applyFont="1" applyFill="1" applyBorder="1"/>
    <xf numFmtId="0" fontId="9" fillId="0" borderId="1" xfId="0" applyFont="1" applyBorder="1"/>
    <xf numFmtId="0" fontId="9" fillId="0" borderId="2" xfId="0" applyFont="1" applyBorder="1"/>
    <xf numFmtId="0" fontId="8" fillId="4" borderId="22" xfId="0" applyFont="1" applyFill="1" applyBorder="1"/>
    <xf numFmtId="0" fontId="8" fillId="4" borderId="5" xfId="0" applyFont="1" applyFill="1" applyBorder="1"/>
    <xf numFmtId="0" fontId="8" fillId="4" borderId="23" xfId="0" applyFont="1" applyFill="1" applyBorder="1"/>
    <xf numFmtId="0" fontId="8" fillId="4" borderId="12" xfId="0" applyFont="1" applyFill="1" applyBorder="1"/>
    <xf numFmtId="0" fontId="8" fillId="5" borderId="31" xfId="0" applyFont="1" applyFill="1" applyBorder="1"/>
    <xf numFmtId="0" fontId="8" fillId="5" borderId="7" xfId="0" applyFont="1" applyFill="1" applyBorder="1"/>
    <xf numFmtId="0" fontId="8" fillId="5" borderId="8" xfId="0" applyFont="1" applyFill="1" applyBorder="1"/>
    <xf numFmtId="0" fontId="8" fillId="5" borderId="22" xfId="0" applyFont="1" applyFill="1" applyBorder="1"/>
    <xf numFmtId="0" fontId="8" fillId="5" borderId="5" xfId="0" applyFont="1" applyFill="1" applyBorder="1"/>
    <xf numFmtId="0" fontId="8" fillId="5" borderId="10" xfId="0" applyFont="1" applyFill="1" applyBorder="1"/>
    <xf numFmtId="0" fontId="8" fillId="5" borderId="13" xfId="0" applyFont="1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5" xfId="0" applyFill="1" applyBorder="1"/>
    <xf numFmtId="0" fontId="0" fillId="4" borderId="10" xfId="0" applyFill="1" applyBorder="1"/>
    <xf numFmtId="0" fontId="10" fillId="0" borderId="34" xfId="0" applyFont="1" applyBorder="1"/>
    <xf numFmtId="0" fontId="10" fillId="0" borderId="25" xfId="0" applyFont="1" applyBorder="1"/>
    <xf numFmtId="0" fontId="10" fillId="0" borderId="26" xfId="0" applyFont="1" applyBorder="1"/>
    <xf numFmtId="0" fontId="10" fillId="0" borderId="20" xfId="0" applyFont="1" applyBorder="1"/>
    <xf numFmtId="0" fontId="10" fillId="0" borderId="18" xfId="0" applyFont="1" applyBorder="1"/>
    <xf numFmtId="0" fontId="10" fillId="0" borderId="19" xfId="0" applyFont="1" applyBorder="1"/>
    <xf numFmtId="0" fontId="8" fillId="0" borderId="21" xfId="0" applyFont="1" applyBorder="1"/>
    <xf numFmtId="0" fontId="8" fillId="0" borderId="15" xfId="0" applyFont="1" applyBorder="1"/>
    <xf numFmtId="0" fontId="8" fillId="0" borderId="16" xfId="0" applyFont="1" applyBorder="1"/>
    <xf numFmtId="0" fontId="8" fillId="0" borderId="5" xfId="0" applyFont="1" applyBorder="1"/>
    <xf numFmtId="0" fontId="8" fillId="0" borderId="10" xfId="0" applyFont="1" applyBorder="1"/>
    <xf numFmtId="0" fontId="8" fillId="0" borderId="12" xfId="0" applyFont="1" applyBorder="1"/>
    <xf numFmtId="0" fontId="8" fillId="0" borderId="13" xfId="0" applyFont="1" applyBorder="1"/>
    <xf numFmtId="0" fontId="8" fillId="5" borderId="23" xfId="0" applyFont="1" applyFill="1" applyBorder="1"/>
    <xf numFmtId="0" fontId="8" fillId="5" borderId="12" xfId="0" applyFont="1" applyFill="1" applyBorder="1"/>
    <xf numFmtId="0" fontId="0" fillId="0" borderId="14" xfId="0" applyBorder="1"/>
    <xf numFmtId="0" fontId="5" fillId="2" borderId="17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7" xfId="0" applyFont="1" applyFill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5" fillId="2" borderId="19" xfId="0" applyFont="1" applyFill="1" applyBorder="1" applyAlignment="1">
      <alignment horizontal="left"/>
    </xf>
    <xf numFmtId="10" fontId="0" fillId="0" borderId="22" xfId="0" applyNumberFormat="1" applyBorder="1"/>
    <xf numFmtId="10" fontId="0" fillId="0" borderId="23" xfId="0" applyNumberFormat="1" applyBorder="1"/>
    <xf numFmtId="0" fontId="4" fillId="3" borderId="9" xfId="0" applyFont="1" applyFill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5" fillId="2" borderId="13" xfId="0" applyFont="1" applyFill="1" applyBorder="1" applyAlignment="1">
      <alignment horizontal="left"/>
    </xf>
    <xf numFmtId="0" fontId="3" fillId="0" borderId="0" xfId="0" applyFont="1"/>
    <xf numFmtId="10" fontId="0" fillId="0" borderId="35" xfId="0" applyNumberFormat="1" applyBorder="1"/>
    <xf numFmtId="10" fontId="0" fillId="0" borderId="36" xfId="0" applyNumberFormat="1" applyBorder="1"/>
    <xf numFmtId="0" fontId="5" fillId="2" borderId="14" xfId="0" applyFont="1" applyFill="1" applyBorder="1" applyAlignment="1">
      <alignment horizontal="left"/>
    </xf>
    <xf numFmtId="0" fontId="4" fillId="3" borderId="16" xfId="0" applyFont="1" applyFill="1" applyBorder="1" applyAlignment="1">
      <alignment horizontal="left"/>
    </xf>
    <xf numFmtId="10" fontId="0" fillId="0" borderId="21" xfId="1" applyNumberFormat="1" applyFont="1" applyBorder="1"/>
    <xf numFmtId="10" fontId="0" fillId="0" borderId="37" xfId="1" applyNumberFormat="1" applyFont="1" applyBorder="1"/>
    <xf numFmtId="0" fontId="0" fillId="0" borderId="1" xfId="0" applyBorder="1"/>
    <xf numFmtId="0" fontId="0" fillId="0" borderId="32" xfId="0" applyBorder="1"/>
    <xf numFmtId="0" fontId="0" fillId="0" borderId="2" xfId="0" applyBorder="1"/>
    <xf numFmtId="0" fontId="0" fillId="0" borderId="4" xfId="0" applyBorder="1"/>
    <xf numFmtId="0" fontId="0" fillId="0" borderId="25" xfId="0" applyBorder="1"/>
    <xf numFmtId="0" fontId="0" fillId="0" borderId="39" xfId="0" applyBorder="1"/>
    <xf numFmtId="0" fontId="12" fillId="0" borderId="32" xfId="0" applyFont="1" applyBorder="1"/>
    <xf numFmtId="0" fontId="12" fillId="0" borderId="33" xfId="0" applyFont="1" applyBorder="1"/>
    <xf numFmtId="0" fontId="12" fillId="0" borderId="20" xfId="0" applyFont="1" applyBorder="1"/>
    <xf numFmtId="0" fontId="12" fillId="0" borderId="38" xfId="0" applyFont="1" applyBorder="1"/>
    <xf numFmtId="0" fontId="12" fillId="0" borderId="1" xfId="0" applyFont="1" applyBorder="1"/>
    <xf numFmtId="0" fontId="0" fillId="7" borderId="33" xfId="0" applyFill="1" applyBorder="1"/>
    <xf numFmtId="0" fontId="10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164" fontId="0" fillId="0" borderId="0" xfId="1" applyNumberFormat="1" applyFont="1" applyBorder="1"/>
    <xf numFmtId="164" fontId="0" fillId="0" borderId="44" xfId="1" applyNumberFormat="1" applyFont="1" applyBorder="1"/>
    <xf numFmtId="9" fontId="0" fillId="0" borderId="3" xfId="0" applyNumberFormat="1" applyBorder="1"/>
    <xf numFmtId="0" fontId="0" fillId="0" borderId="40" xfId="0" applyBorder="1"/>
    <xf numFmtId="9" fontId="0" fillId="0" borderId="45" xfId="0" applyNumberFormat="1" applyBorder="1"/>
    <xf numFmtId="0" fontId="0" fillId="0" borderId="42" xfId="0" applyBorder="1"/>
    <xf numFmtId="0" fontId="0" fillId="0" borderId="49" xfId="0" applyBorder="1"/>
    <xf numFmtId="0" fontId="0" fillId="0" borderId="50" xfId="0" applyBorder="1"/>
    <xf numFmtId="0" fontId="0" fillId="4" borderId="49" xfId="0" applyFill="1" applyBorder="1"/>
    <xf numFmtId="164" fontId="0" fillId="4" borderId="0" xfId="1" applyNumberFormat="1" applyFont="1" applyFill="1" applyBorder="1"/>
    <xf numFmtId="9" fontId="0" fillId="4" borderId="45" xfId="0" applyNumberFormat="1" applyFill="1" applyBorder="1"/>
    <xf numFmtId="0" fontId="0" fillId="4" borderId="50" xfId="0" applyFill="1" applyBorder="1"/>
    <xf numFmtId="164" fontId="0" fillId="4" borderId="46" xfId="1" applyNumberFormat="1" applyFont="1" applyFill="1" applyBorder="1"/>
    <xf numFmtId="9" fontId="0" fillId="4" borderId="47" xfId="0" applyNumberFormat="1" applyFill="1" applyBorder="1"/>
    <xf numFmtId="0" fontId="13" fillId="8" borderId="42" xfId="3" quotePrefix="1" applyFont="1" applyFill="1" applyBorder="1" applyAlignment="1">
      <alignment wrapText="1"/>
    </xf>
    <xf numFmtId="0" fontId="13" fillId="8" borderId="48" xfId="3" applyFont="1" applyFill="1" applyBorder="1" applyAlignment="1">
      <alignment wrapText="1"/>
    </xf>
    <xf numFmtId="0" fontId="13" fillId="8" borderId="28" xfId="3" applyFont="1" applyFill="1" applyBorder="1" applyAlignment="1">
      <alignment wrapText="1"/>
    </xf>
    <xf numFmtId="0" fontId="14" fillId="7" borderId="40" xfId="0" applyFont="1" applyFill="1" applyBorder="1" applyAlignment="1">
      <alignment horizontal="left"/>
    </xf>
    <xf numFmtId="0" fontId="0" fillId="7" borderId="34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15" fillId="9" borderId="1" xfId="0" applyFont="1" applyFill="1" applyBorder="1"/>
    <xf numFmtId="0" fontId="0" fillId="0" borderId="45" xfId="0" applyBorder="1"/>
    <xf numFmtId="0" fontId="0" fillId="0" borderId="47" xfId="0" applyBorder="1"/>
    <xf numFmtId="0" fontId="0" fillId="0" borderId="51" xfId="0" applyBorder="1"/>
    <xf numFmtId="0" fontId="0" fillId="0" borderId="43" xfId="0" applyBorder="1"/>
    <xf numFmtId="0" fontId="0" fillId="0" borderId="52" xfId="0" applyBorder="1"/>
    <xf numFmtId="0" fontId="16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17" fillId="0" borderId="0" xfId="0" applyFont="1"/>
    <xf numFmtId="0" fontId="8" fillId="5" borderId="21" xfId="0" applyFont="1" applyFill="1" applyBorder="1"/>
    <xf numFmtId="0" fontId="8" fillId="5" borderId="6" xfId="0" applyFont="1" applyFill="1" applyBorder="1"/>
    <xf numFmtId="0" fontId="8" fillId="5" borderId="53" xfId="0" applyFont="1" applyFill="1" applyBorder="1"/>
    <xf numFmtId="0" fontId="7" fillId="3" borderId="48" xfId="0" applyFont="1" applyFill="1" applyBorder="1"/>
    <xf numFmtId="0" fontId="7" fillId="3" borderId="3" xfId="0" applyFont="1" applyFill="1" applyBorder="1"/>
    <xf numFmtId="0" fontId="8" fillId="5" borderId="54" xfId="0" applyFont="1" applyFill="1" applyBorder="1"/>
    <xf numFmtId="0" fontId="0" fillId="4" borderId="17" xfId="0" applyFill="1" applyBorder="1"/>
    <xf numFmtId="0" fontId="0" fillId="4" borderId="18" xfId="0" applyFill="1" applyBorder="1"/>
    <xf numFmtId="0" fontId="0" fillId="4" borderId="19" xfId="0" applyFill="1" applyBorder="1"/>
    <xf numFmtId="0" fontId="8" fillId="5" borderId="15" xfId="0" applyFont="1" applyFill="1" applyBorder="1"/>
    <xf numFmtId="0" fontId="8" fillId="5" borderId="16" xfId="0" applyFont="1" applyFill="1" applyBorder="1"/>
    <xf numFmtId="0" fontId="7" fillId="3" borderId="18" xfId="0" applyFont="1" applyFill="1" applyBorder="1"/>
    <xf numFmtId="0" fontId="7" fillId="3" borderId="19" xfId="0" applyFont="1" applyFill="1" applyBorder="1"/>
    <xf numFmtId="0" fontId="9" fillId="0" borderId="17" xfId="0" applyFont="1" applyBorder="1"/>
    <xf numFmtId="0" fontId="0" fillId="10" borderId="34" xfId="0" applyFill="1" applyBorder="1"/>
    <xf numFmtId="0" fontId="0" fillId="10" borderId="25" xfId="0" applyFill="1" applyBorder="1"/>
    <xf numFmtId="0" fontId="0" fillId="10" borderId="26" xfId="0" applyFill="1" applyBorder="1"/>
    <xf numFmtId="0" fontId="10" fillId="0" borderId="17" xfId="0" applyFont="1" applyBorder="1"/>
    <xf numFmtId="0" fontId="6" fillId="3" borderId="34" xfId="0" applyFont="1" applyFill="1" applyBorder="1"/>
    <xf numFmtId="0" fontId="8" fillId="5" borderId="47" xfId="0" applyFont="1" applyFill="1" applyBorder="1"/>
    <xf numFmtId="0" fontId="8" fillId="4" borderId="14" xfId="0" applyFont="1" applyFill="1" applyBorder="1"/>
    <xf numFmtId="0" fontId="8" fillId="4" borderId="55" xfId="0" applyFont="1" applyFill="1" applyBorder="1"/>
    <xf numFmtId="0" fontId="8" fillId="4" borderId="56" xfId="0" applyFont="1" applyFill="1" applyBorder="1"/>
    <xf numFmtId="0" fontId="0" fillId="4" borderId="29" xfId="0" applyFill="1" applyBorder="1"/>
    <xf numFmtId="0" fontId="0" fillId="4" borderId="41" xfId="0" applyFill="1" applyBorder="1"/>
    <xf numFmtId="0" fontId="0" fillId="4" borderId="30" xfId="0" applyFill="1" applyBorder="1"/>
    <xf numFmtId="0" fontId="0" fillId="0" borderId="57" xfId="0" applyBorder="1"/>
    <xf numFmtId="0" fontId="0" fillId="0" borderId="58" xfId="0" applyBorder="1"/>
    <xf numFmtId="0" fontId="8" fillId="5" borderId="9" xfId="0" applyFont="1" applyFill="1" applyBorder="1"/>
    <xf numFmtId="0" fontId="8" fillId="5" borderId="11" xfId="0" applyFont="1" applyFill="1" applyBorder="1"/>
    <xf numFmtId="0" fontId="8" fillId="11" borderId="6" xfId="0" applyFont="1" applyFill="1" applyBorder="1"/>
    <xf numFmtId="0" fontId="8" fillId="11" borderId="7" xfId="0" applyFont="1" applyFill="1" applyBorder="1"/>
    <xf numFmtId="0" fontId="8" fillId="11" borderId="9" xfId="0" applyFont="1" applyFill="1" applyBorder="1"/>
    <xf numFmtId="0" fontId="8" fillId="11" borderId="5" xfId="0" applyFont="1" applyFill="1" applyBorder="1"/>
    <xf numFmtId="0" fontId="8" fillId="11" borderId="10" xfId="0" applyFont="1" applyFill="1" applyBorder="1"/>
    <xf numFmtId="0" fontId="8" fillId="11" borderId="11" xfId="0" applyFont="1" applyFill="1" applyBorder="1"/>
    <xf numFmtId="0" fontId="8" fillId="11" borderId="12" xfId="0" applyFont="1" applyFill="1" applyBorder="1"/>
    <xf numFmtId="0" fontId="8" fillId="11" borderId="13" xfId="0" applyFont="1" applyFill="1" applyBorder="1"/>
    <xf numFmtId="0" fontId="8" fillId="4" borderId="8" xfId="0" applyFont="1" applyFill="1" applyBorder="1"/>
    <xf numFmtId="0" fontId="8" fillId="0" borderId="22" xfId="0" applyFont="1" applyBorder="1"/>
    <xf numFmtId="0" fontId="8" fillId="0" borderId="23" xfId="0" applyFont="1" applyBorder="1"/>
    <xf numFmtId="0" fontId="10" fillId="0" borderId="48" xfId="0" applyFont="1" applyBorder="1"/>
    <xf numFmtId="0" fontId="10" fillId="0" borderId="43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9" xfId="0" applyFont="1" applyBorder="1"/>
    <xf numFmtId="0" fontId="8" fillId="0" borderId="11" xfId="0" applyFont="1" applyBorder="1"/>
    <xf numFmtId="0" fontId="8" fillId="0" borderId="8" xfId="0" applyFont="1" applyBorder="1"/>
    <xf numFmtId="0" fontId="5" fillId="3" borderId="14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18" fillId="0" borderId="0" xfId="2" applyFont="1"/>
    <xf numFmtId="0" fontId="19" fillId="0" borderId="0" xfId="0" applyFont="1"/>
    <xf numFmtId="0" fontId="20" fillId="0" borderId="0" xfId="2" applyFont="1"/>
    <xf numFmtId="0" fontId="14" fillId="0" borderId="0" xfId="0" applyFont="1" applyAlignment="1">
      <alignment horizontal="left" wrapText="1"/>
    </xf>
    <xf numFmtId="0" fontId="14" fillId="0" borderId="0" xfId="0" applyFont="1" applyAlignment="1">
      <alignment vertical="center" wrapText="1"/>
    </xf>
    <xf numFmtId="0" fontId="0" fillId="0" borderId="34" xfId="0" applyBorder="1"/>
    <xf numFmtId="0" fontId="10" fillId="0" borderId="6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14" fillId="0" borderId="0" xfId="0" applyFont="1" applyAlignment="1">
      <alignment horizontal="left"/>
    </xf>
    <xf numFmtId="9" fontId="0" fillId="0" borderId="44" xfId="1" applyFont="1" applyBorder="1"/>
    <xf numFmtId="9" fontId="0" fillId="0" borderId="3" xfId="1" applyFont="1" applyBorder="1"/>
    <xf numFmtId="9" fontId="0" fillId="0" borderId="0" xfId="1" applyFont="1" applyBorder="1"/>
    <xf numFmtId="9" fontId="0" fillId="0" borderId="45" xfId="1" applyFont="1" applyBorder="1"/>
    <xf numFmtId="9" fontId="0" fillId="0" borderId="46" xfId="1" applyFont="1" applyBorder="1"/>
    <xf numFmtId="9" fontId="0" fillId="0" borderId="47" xfId="1" applyFont="1" applyBorder="1"/>
    <xf numFmtId="0" fontId="0" fillId="4" borderId="40" xfId="0" applyFill="1" applyBorder="1"/>
    <xf numFmtId="9" fontId="0" fillId="4" borderId="0" xfId="1" applyFont="1" applyFill="1" applyBorder="1"/>
    <xf numFmtId="9" fontId="0" fillId="4" borderId="45" xfId="1" applyFont="1" applyFill="1" applyBorder="1"/>
    <xf numFmtId="0" fontId="21" fillId="7" borderId="0" xfId="0" applyFont="1" applyFill="1"/>
    <xf numFmtId="0" fontId="22" fillId="7" borderId="0" xfId="2" applyFont="1" applyFill="1"/>
    <xf numFmtId="0" fontId="0" fillId="0" borderId="60" xfId="0" applyBorder="1"/>
    <xf numFmtId="9" fontId="0" fillId="0" borderId="60" xfId="0" applyNumberFormat="1" applyBorder="1"/>
    <xf numFmtId="0" fontId="0" fillId="10" borderId="27" xfId="0" applyFill="1" applyBorder="1"/>
    <xf numFmtId="0" fontId="0" fillId="10" borderId="43" xfId="0" applyFill="1" applyBorder="1"/>
    <xf numFmtId="0" fontId="0" fillId="10" borderId="28" xfId="0" applyFill="1" applyBorder="1"/>
    <xf numFmtId="0" fontId="0" fillId="0" borderId="41" xfId="0" applyBorder="1"/>
    <xf numFmtId="0" fontId="0" fillId="0" borderId="30" xfId="0" applyBorder="1"/>
    <xf numFmtId="0" fontId="12" fillId="0" borderId="0" xfId="0" applyFont="1"/>
    <xf numFmtId="0" fontId="0" fillId="7" borderId="59" xfId="0" applyFill="1" applyBorder="1"/>
    <xf numFmtId="164" fontId="0" fillId="0" borderId="0" xfId="0" applyNumberFormat="1"/>
    <xf numFmtId="0" fontId="14" fillId="7" borderId="0" xfId="0" applyFont="1" applyFill="1" applyAlignment="1">
      <alignment horizontal="left" wrapText="1"/>
    </xf>
    <xf numFmtId="0" fontId="14" fillId="7" borderId="0" xfId="0" applyFont="1" applyFill="1" applyAlignment="1">
      <alignment horizontal="left" vertical="center" wrapText="1"/>
    </xf>
    <xf numFmtId="0" fontId="14" fillId="7" borderId="0" xfId="0" applyFont="1" applyFill="1" applyAlignment="1">
      <alignment horizontal="left"/>
    </xf>
    <xf numFmtId="0" fontId="14" fillId="7" borderId="40" xfId="0" applyFont="1" applyFill="1" applyBorder="1" applyAlignment="1">
      <alignment horizontal="left"/>
    </xf>
  </cellXfs>
  <cellStyles count="4">
    <cellStyle name="20 % - Accent4" xfId="3" builtinId="42"/>
    <cellStyle name="Normal" xfId="0" builtinId="0"/>
    <cellStyle name="Pourcentage" xfId="1" builtinId="5"/>
    <cellStyle name="Titre" xfId="2" builtinId="15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Simulation d'une partie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'Nb lancers fixés'!$J$20</c:f>
              <c:strCache>
                <c:ptCount val="1"/>
                <c:pt idx="0">
                  <c:v>Nb de points pour 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'Nb lancers fixés'!$J$21:$J$45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8</c:v>
                </c:pt>
                <c:pt idx="13">
                  <c:v>9</c:v>
                </c:pt>
                <c:pt idx="14">
                  <c:v>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DC-854C-BB73-C2F2E07B2831}"/>
            </c:ext>
          </c:extLst>
        </c:ser>
        <c:ser>
          <c:idx val="2"/>
          <c:order val="1"/>
          <c:tx>
            <c:strRef>
              <c:f>'Nb lancers fixés'!$K$20</c:f>
              <c:strCache>
                <c:ptCount val="1"/>
                <c:pt idx="0">
                  <c:v>Nb de points pour 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'Nb lancers fixés'!$K$21:$K$45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DC-854C-BB73-C2F2E07B2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7318655"/>
        <c:axId val="717308351"/>
      </c:lineChart>
      <c:catAx>
        <c:axId val="717318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7308351"/>
        <c:crosses val="autoZero"/>
        <c:auto val="1"/>
        <c:lblAlgn val="ctr"/>
        <c:lblOffset val="100"/>
        <c:noMultiLvlLbl val="0"/>
      </c:catAx>
      <c:valAx>
        <c:axId val="717308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7318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Simulation d'une partie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'Nb lancers gagnants'!$J$21</c:f>
              <c:strCache>
                <c:ptCount val="1"/>
                <c:pt idx="0">
                  <c:v>Nb de points pour 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'Nb lancers gagnants'!$J$22:$J$60</c:f>
              <c:numCache>
                <c:formatCode>General</c:formatCode>
                <c:ptCount val="3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10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5E-C04F-8412-2303CF4686B5}"/>
            </c:ext>
          </c:extLst>
        </c:ser>
        <c:ser>
          <c:idx val="2"/>
          <c:order val="1"/>
          <c:tx>
            <c:strRef>
              <c:f>'Nb lancers gagnants'!$K$21</c:f>
              <c:strCache>
                <c:ptCount val="1"/>
                <c:pt idx="0">
                  <c:v>Nb de points pour 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'Nb lancers gagnants'!$K$22:$K$60</c:f>
              <c:numCache>
                <c:formatCode>General</c:formatCode>
                <c:ptCount val="3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8</c:v>
                </c:pt>
                <c:pt idx="17">
                  <c:v>9</c:v>
                </c:pt>
                <c:pt idx="18">
                  <c:v>9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EB-884D-A6EB-A0E6B3702D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7318655"/>
        <c:axId val="717308351"/>
      </c:lineChart>
      <c:catAx>
        <c:axId val="717318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7308351"/>
        <c:crosses val="autoZero"/>
        <c:auto val="1"/>
        <c:lblAlgn val="ctr"/>
        <c:lblOffset val="100"/>
        <c:noMultiLvlLbl val="0"/>
      </c:catAx>
      <c:valAx>
        <c:axId val="717308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7318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1104900</xdr:colOff>
      <xdr:row>19</xdr:row>
      <xdr:rowOff>12700</xdr:rowOff>
    </xdr:from>
    <xdr:to>
      <xdr:col>18</xdr:col>
      <xdr:colOff>603250</xdr:colOff>
      <xdr:row>40</xdr:row>
      <xdr:rowOff>114300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EC725128-5895-5746-8188-538FDDBC3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349250</xdr:colOff>
      <xdr:row>20</xdr:row>
      <xdr:rowOff>25400</xdr:rowOff>
    </xdr:from>
    <xdr:to>
      <xdr:col>19</xdr:col>
      <xdr:colOff>673100</xdr:colOff>
      <xdr:row>40</xdr:row>
      <xdr:rowOff>127000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1C486C3-942A-5245-93EC-80DAC64B9F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27CE2-A691-6A45-9EC1-1B70B51EF4A2}">
  <dimension ref="B1:AC40"/>
  <sheetViews>
    <sheetView tabSelected="1" workbookViewId="0"/>
  </sheetViews>
  <sheetFormatPr defaultColWidth="11" defaultRowHeight="15.95"/>
  <cols>
    <col min="1" max="1" width="4.125" customWidth="1"/>
    <col min="3" max="8" width="6.875" customWidth="1"/>
    <col min="9" max="9" width="15.625" customWidth="1"/>
    <col min="10" max="10" width="17.625" customWidth="1"/>
    <col min="11" max="12" width="9.375" customWidth="1"/>
    <col min="15" max="15" width="6.625" customWidth="1"/>
    <col min="16" max="16" width="9.375" customWidth="1"/>
    <col min="17" max="17" width="7" customWidth="1"/>
    <col min="27" max="27" width="17.5" customWidth="1"/>
  </cols>
  <sheetData>
    <row r="1" spans="2:29" ht="45" customHeight="1">
      <c r="B1" s="180" t="s">
        <v>0</v>
      </c>
      <c r="N1" s="200"/>
    </row>
    <row r="2" spans="2:29">
      <c r="B2" s="199" t="s">
        <v>1</v>
      </c>
      <c r="C2" s="198"/>
      <c r="D2" s="198"/>
      <c r="E2" s="198"/>
      <c r="F2" s="198"/>
      <c r="G2" s="198"/>
      <c r="H2" s="198"/>
      <c r="I2" s="198"/>
      <c r="J2" s="198"/>
      <c r="N2" s="200"/>
    </row>
    <row r="3" spans="2:29" ht="42" customHeight="1">
      <c r="B3" s="182" t="s">
        <v>2</v>
      </c>
      <c r="N3" s="200"/>
      <c r="P3" s="182" t="s">
        <v>3</v>
      </c>
    </row>
    <row r="4" spans="2:29" ht="17.100000000000001" thickBot="1">
      <c r="N4" s="200"/>
    </row>
    <row r="5" spans="2:29" ht="20.100000000000001" thickBot="1">
      <c r="B5" s="30" t="s">
        <v>4</v>
      </c>
      <c r="C5" s="24">
        <v>4</v>
      </c>
      <c r="D5" s="22">
        <v>4</v>
      </c>
      <c r="E5" s="22">
        <v>4</v>
      </c>
      <c r="F5" s="22">
        <v>4</v>
      </c>
      <c r="G5" s="22">
        <v>4</v>
      </c>
      <c r="H5" s="25">
        <v>1</v>
      </c>
      <c r="N5" s="200"/>
      <c r="P5" s="125" t="s">
        <v>5</v>
      </c>
      <c r="V5" s="125" t="s">
        <v>6</v>
      </c>
    </row>
    <row r="6" spans="2:29" ht="17.100000000000001" thickBot="1">
      <c r="B6" s="26">
        <v>5</v>
      </c>
      <c r="C6" s="35" t="str">
        <f>IF($B6&gt;C$5,$K$9,$L$9)</f>
        <v>N</v>
      </c>
      <c r="D6" s="36" t="str">
        <f>IF($B6&gt;D$5,$K$9,$L$9)</f>
        <v>N</v>
      </c>
      <c r="E6" s="36" t="str">
        <f>IF($B6&gt;E$5,$K$9,$L$9)</f>
        <v>N</v>
      </c>
      <c r="F6" s="36" t="str">
        <f>IF($B6&gt;F$5,$K$9,$L$9)</f>
        <v>N</v>
      </c>
      <c r="G6" s="36" t="str">
        <f>IF($B6&gt;G$5,$K$9,$L$9)</f>
        <v>N</v>
      </c>
      <c r="H6" s="37" t="str">
        <f>IF($B6&gt;H$5,$K$9,$L$9)</f>
        <v>N</v>
      </c>
      <c r="N6" s="200"/>
    </row>
    <row r="7" spans="2:29" ht="17.100000000000001" thickBot="1">
      <c r="B7" s="27">
        <v>5</v>
      </c>
      <c r="C7" s="38" t="str">
        <f>IF(B7&gt;C$5,$K$9,$L$9)</f>
        <v>N</v>
      </c>
      <c r="D7" s="39" t="str">
        <f>IF($B7&gt;D$5,$K$9,$L$9)</f>
        <v>N</v>
      </c>
      <c r="E7" s="39" t="str">
        <f>IF($B7&gt;E$5,$K$9,$L$9)</f>
        <v>N</v>
      </c>
      <c r="F7" s="39" t="str">
        <f>IF($B7&gt;F$5,$K$9,$L$9)</f>
        <v>N</v>
      </c>
      <c r="G7" s="39" t="str">
        <f>IF($B7&gt;G$5,$K$9,$L$9)</f>
        <v>N</v>
      </c>
      <c r="H7" s="40" t="str">
        <f>IF($B7&gt;H$5,$K$9,$L$9)</f>
        <v>N</v>
      </c>
      <c r="N7" s="200"/>
      <c r="P7" s="30" t="s">
        <v>4</v>
      </c>
      <c r="Q7" s="4"/>
      <c r="R7" s="129">
        <v>8</v>
      </c>
      <c r="S7" s="129">
        <v>5</v>
      </c>
      <c r="T7" s="130">
        <v>2</v>
      </c>
      <c r="U7" s="123"/>
    </row>
    <row r="8" spans="2:29" ht="17.100000000000001" thickBot="1">
      <c r="B8" s="27">
        <v>5</v>
      </c>
      <c r="C8" s="38" t="str">
        <f>IF(B8&gt;C$5,$K$9,$L$9)</f>
        <v>N</v>
      </c>
      <c r="D8" s="39" t="str">
        <f>IF($B8&gt;D$5,$K$9,$L$9)</f>
        <v>N</v>
      </c>
      <c r="E8" s="39" t="str">
        <f>IF($B8&gt;E$5,$K$9,$L$9)</f>
        <v>N</v>
      </c>
      <c r="F8" s="39" t="str">
        <f>IF($B8&gt;F$5,$K$9,$L$9)</f>
        <v>N</v>
      </c>
      <c r="G8" s="39" t="str">
        <f>IF($B8&gt;G$5,$K$9,$L$9)</f>
        <v>N</v>
      </c>
      <c r="H8" s="40" t="str">
        <f>IF($B8&gt;H$5,$K$9,$L$9)</f>
        <v>N</v>
      </c>
      <c r="N8" s="200"/>
      <c r="P8" s="84"/>
      <c r="Q8" s="83" t="s">
        <v>7</v>
      </c>
      <c r="R8" s="132">
        <v>25</v>
      </c>
      <c r="S8" s="133">
        <v>10</v>
      </c>
      <c r="T8" s="134">
        <v>1</v>
      </c>
      <c r="V8" s="139" t="s">
        <v>4</v>
      </c>
      <c r="W8" s="22">
        <v>8</v>
      </c>
      <c r="X8" s="137">
        <v>5</v>
      </c>
      <c r="Y8" s="138">
        <v>2</v>
      </c>
    </row>
    <row r="9" spans="2:29" ht="17.100000000000001" thickBot="1">
      <c r="B9" s="27">
        <v>2</v>
      </c>
      <c r="C9" s="31" t="str">
        <f>IF(B9&gt;C$5,$K$9,$L$9)</f>
        <v>B</v>
      </c>
      <c r="D9" s="32" t="str">
        <f>IF($B9&gt;D$5,$K$9,$L$9)</f>
        <v>B</v>
      </c>
      <c r="E9" s="32" t="str">
        <f>IF($B9&gt;E$5,$K$9,$L$9)</f>
        <v>B</v>
      </c>
      <c r="F9" s="32" t="str">
        <f>IF($B9&gt;F$5,$K$9,$L$9)</f>
        <v>B</v>
      </c>
      <c r="G9" s="32" t="str">
        <f>IF($B9&gt;G$5,$K$9,$L$9)</f>
        <v>B</v>
      </c>
      <c r="H9" s="40" t="str">
        <f>IF($B9&gt;H$5,$K$9,$L$9)</f>
        <v>N</v>
      </c>
      <c r="K9" s="62" t="s">
        <v>8</v>
      </c>
      <c r="L9" s="63" t="s">
        <v>9</v>
      </c>
      <c r="N9" s="200"/>
      <c r="P9" s="26">
        <v>10</v>
      </c>
      <c r="Q9" s="140">
        <v>9</v>
      </c>
      <c r="R9" s="127" t="str">
        <f>IF($P9&gt;R$7,$AB9,$AC9)</f>
        <v>2N</v>
      </c>
      <c r="S9" s="35" t="str">
        <f>IF($P9&gt;S$7,$AB9,$AC9)</f>
        <v>2N</v>
      </c>
      <c r="T9" s="128" t="str">
        <f>IF($P9&gt;T$7,$AB9,$AC9)</f>
        <v>2N</v>
      </c>
      <c r="U9" s="124"/>
      <c r="V9" s="26">
        <v>10</v>
      </c>
      <c r="W9" s="126">
        <f>R$8*$Q9</f>
        <v>225</v>
      </c>
      <c r="X9" s="135">
        <f>S$8*$Q9</f>
        <v>90</v>
      </c>
      <c r="Y9" s="136">
        <f>T$8*$Q9</f>
        <v>9</v>
      </c>
      <c r="AB9" s="62" t="s">
        <v>10</v>
      </c>
      <c r="AC9" s="63" t="s">
        <v>11</v>
      </c>
    </row>
    <row r="10" spans="2:29">
      <c r="B10" s="27">
        <v>2</v>
      </c>
      <c r="C10" s="31" t="str">
        <f>IF(B10&gt;C$5,$K$9,$L$9)</f>
        <v>B</v>
      </c>
      <c r="D10" s="32" t="str">
        <f>IF($B10&gt;D$5,$K$9,$L$9)</f>
        <v>B</v>
      </c>
      <c r="E10" s="32" t="str">
        <f>IF($B10&gt;E$5,$K$9,$L$9)</f>
        <v>B</v>
      </c>
      <c r="F10" s="32" t="str">
        <f>IF($B10&gt;F$5,$K$9,$L$9)</f>
        <v>B</v>
      </c>
      <c r="G10" s="32" t="str">
        <f>IF($B10&gt;G$5,$K$9,$L$9)</f>
        <v>B</v>
      </c>
      <c r="H10" s="40" t="str">
        <f>IF($B10&gt;H$5,$K$9,$L$9)</f>
        <v>N</v>
      </c>
      <c r="J10" s="13" t="s">
        <v>12</v>
      </c>
      <c r="K10" s="12">
        <f>COUNTIFS($C$6:$H$11,K9)</f>
        <v>21</v>
      </c>
      <c r="L10" s="5">
        <f>COUNTIFS($C$6:$H$11,L9)</f>
        <v>15</v>
      </c>
      <c r="M10" s="1"/>
      <c r="N10" s="201"/>
      <c r="O10" s="2"/>
      <c r="P10" s="27">
        <v>7</v>
      </c>
      <c r="Q10" s="141">
        <v>18</v>
      </c>
      <c r="R10" s="146" t="str">
        <f>IF($P10&gt;R$7,$AB9,$AC9)</f>
        <v>2B</v>
      </c>
      <c r="S10" s="126" t="str">
        <f>IF($P10&gt;S$7,$AB9,$AC9)</f>
        <v>2N</v>
      </c>
      <c r="T10" s="131" t="str">
        <f>IF($P10&gt;T$7,$AB9,$AC9)</f>
        <v>2N</v>
      </c>
      <c r="U10" s="124"/>
      <c r="V10" s="27">
        <v>7</v>
      </c>
      <c r="W10" s="31">
        <f>R$8*$Q10</f>
        <v>450</v>
      </c>
      <c r="X10" s="39">
        <f>S$8*$Q10</f>
        <v>180</v>
      </c>
      <c r="Y10" s="40">
        <f>T$8*$Q10</f>
        <v>18</v>
      </c>
      <c r="AA10" s="13" t="s">
        <v>12</v>
      </c>
      <c r="AB10" s="12">
        <f>SUMIF(R9:T11,AB9,W9:Y11)</f>
        <v>531</v>
      </c>
      <c r="AC10" s="5">
        <f>SUMIF(R9:T11,AC9,W9:Y11)</f>
        <v>765</v>
      </c>
    </row>
    <row r="11" spans="2:29" ht="17.100000000000001" customHeight="1" thickBot="1">
      <c r="B11" s="28">
        <v>2</v>
      </c>
      <c r="C11" s="33" t="str">
        <f>IF(B11&gt;C$5,$K$9,$L$9)</f>
        <v>B</v>
      </c>
      <c r="D11" s="34" t="str">
        <f>IF($B11&gt;D$5,$K$9,$L$9)</f>
        <v>B</v>
      </c>
      <c r="E11" s="34" t="str">
        <f>IF($B11&gt;E$5,$K$9,$L$9)</f>
        <v>B</v>
      </c>
      <c r="F11" s="34" t="str">
        <f>IF($B11&gt;F$5,$K$9,$L$9)</f>
        <v>B</v>
      </c>
      <c r="G11" s="34" t="str">
        <f>IF($B11&gt;G$5,$K$9,$L$9)</f>
        <v>B</v>
      </c>
      <c r="H11" s="41" t="str">
        <f>IF($B11&gt;H$5,$K$9,$L$9)</f>
        <v>N</v>
      </c>
      <c r="J11" s="14" t="s">
        <v>13</v>
      </c>
      <c r="K11" s="20">
        <f>K10/36</f>
        <v>0.58333333333333337</v>
      </c>
      <c r="L11" s="21">
        <f>L10/36</f>
        <v>0.41666666666666669</v>
      </c>
      <c r="M11" s="1"/>
      <c r="N11" s="201"/>
      <c r="O11" s="2"/>
      <c r="P11" s="28">
        <v>4</v>
      </c>
      <c r="Q11" s="142">
        <v>9</v>
      </c>
      <c r="R11" s="147" t="str">
        <f>IF($P11&gt;R$7,$AB9,$AC9)</f>
        <v>2B</v>
      </c>
      <c r="S11" s="148" t="str">
        <f>IF($P11&gt;S$7,$AB9,$AC9)</f>
        <v>2B</v>
      </c>
      <c r="T11" s="145" t="str">
        <f>IF($P11&gt;T$7,$AB9,$AC9)</f>
        <v>2N</v>
      </c>
      <c r="U11" s="124"/>
      <c r="V11" s="28">
        <v>4</v>
      </c>
      <c r="W11" s="33">
        <f>R$8*$Q11</f>
        <v>225</v>
      </c>
      <c r="X11" s="34">
        <f>S$8*$Q11</f>
        <v>90</v>
      </c>
      <c r="Y11" s="41">
        <f>T$8*$Q11</f>
        <v>9</v>
      </c>
      <c r="AA11" s="14" t="s">
        <v>13</v>
      </c>
      <c r="AB11" s="20">
        <f>AB10/(36*36)</f>
        <v>0.40972222222222221</v>
      </c>
      <c r="AC11" s="21">
        <f>AC10/(36*36)</f>
        <v>0.59027777777777779</v>
      </c>
    </row>
    <row r="12" spans="2:29">
      <c r="M12" s="1"/>
      <c r="N12" s="201"/>
      <c r="O12" s="2"/>
    </row>
    <row r="13" spans="2:29" ht="17.100000000000001" thickBot="1">
      <c r="N13" s="200"/>
    </row>
    <row r="14" spans="2:29" ht="20.100000000000001" thickBot="1">
      <c r="B14" s="29" t="s">
        <v>14</v>
      </c>
      <c r="C14" s="49">
        <v>6</v>
      </c>
      <c r="D14" s="50">
        <v>3</v>
      </c>
      <c r="E14" s="50">
        <v>3</v>
      </c>
      <c r="F14" s="50">
        <v>3</v>
      </c>
      <c r="G14" s="50">
        <v>3</v>
      </c>
      <c r="H14" s="51">
        <v>3</v>
      </c>
      <c r="N14" s="200"/>
      <c r="P14" s="125" t="s">
        <v>5</v>
      </c>
      <c r="V14" s="125" t="s">
        <v>6</v>
      </c>
    </row>
    <row r="15" spans="2:29" ht="17.100000000000001" thickBot="1">
      <c r="B15" s="15">
        <v>4</v>
      </c>
      <c r="C15" s="9" t="str">
        <f>IF($B15&gt;C$14,$K$18,$L$18)</f>
        <v>W</v>
      </c>
      <c r="D15" s="42" t="str">
        <f>IF($B15&gt;D$14,$K$18,$L$18)</f>
        <v>B</v>
      </c>
      <c r="E15" s="42" t="str">
        <f>IF($B15&gt;E$14,$K$18,$L$18)</f>
        <v>B</v>
      </c>
      <c r="F15" s="42" t="str">
        <f>IF($B15&gt;F$14,$K$18,$L$18)</f>
        <v>B</v>
      </c>
      <c r="G15" s="42" t="str">
        <f>IF($B15&gt;G$14,$K$18,$L$18)</f>
        <v>B</v>
      </c>
      <c r="H15" s="43" t="str">
        <f>IF($B15&gt;H$14,$K$18,$L$18)</f>
        <v>B</v>
      </c>
      <c r="N15" s="200"/>
    </row>
    <row r="16" spans="2:29" ht="17.100000000000001" thickBot="1">
      <c r="B16" s="16">
        <v>4</v>
      </c>
      <c r="C16" s="10" t="str">
        <f>IF($B16&gt;C$14,$K$18,$L$18)</f>
        <v>W</v>
      </c>
      <c r="D16" s="44" t="str">
        <f>IF($B16&gt;D$14,$K$18,$L$18)</f>
        <v>B</v>
      </c>
      <c r="E16" s="44" t="str">
        <f>IF($B16&gt;E$14,$K$18,$L$18)</f>
        <v>B</v>
      </c>
      <c r="F16" s="44" t="str">
        <f>IF($B16&gt;F$14,$K$18,$L$18)</f>
        <v>B</v>
      </c>
      <c r="G16" s="44" t="str">
        <f>IF($B16&gt;G$14,$K$18,$L$18)</f>
        <v>B</v>
      </c>
      <c r="H16" s="45" t="str">
        <f>IF($B16&gt;H$14,$K$18,$L$18)</f>
        <v>B</v>
      </c>
      <c r="N16" s="200"/>
      <c r="P16" s="30" t="s">
        <v>14</v>
      </c>
      <c r="Q16" s="4"/>
      <c r="R16" s="143">
        <v>12</v>
      </c>
      <c r="S16" s="50">
        <v>9</v>
      </c>
      <c r="T16" s="51">
        <v>6</v>
      </c>
      <c r="U16" s="123"/>
    </row>
    <row r="17" spans="2:29" ht="17.100000000000001" thickBot="1">
      <c r="B17" s="16">
        <v>4</v>
      </c>
      <c r="C17" s="10" t="str">
        <f>IF($B17&gt;C$14,$K$18,$L$18)</f>
        <v>W</v>
      </c>
      <c r="D17" s="44" t="str">
        <f>IF($B17&gt;D$14,$K$18,$L$18)</f>
        <v>B</v>
      </c>
      <c r="E17" s="44" t="str">
        <f>IF($B17&gt;E$14,$K$18,$L$18)</f>
        <v>B</v>
      </c>
      <c r="F17" s="44" t="str">
        <f>IF($B17&gt;F$14,$K$18,$L$18)</f>
        <v>B</v>
      </c>
      <c r="G17" s="44" t="str">
        <f>IF($B17&gt;G$14,$K$18,$L$18)</f>
        <v>B</v>
      </c>
      <c r="H17" s="45" t="str">
        <f>IF($B17&gt;H$14,$K$18,$L$18)</f>
        <v>B</v>
      </c>
      <c r="N17" s="200"/>
      <c r="P17" s="84"/>
      <c r="Q17" s="81" t="s">
        <v>7</v>
      </c>
      <c r="R17" s="152">
        <v>1</v>
      </c>
      <c r="S17" s="119">
        <v>10</v>
      </c>
      <c r="T17" s="153">
        <v>25</v>
      </c>
      <c r="V17" s="29" t="s">
        <v>14</v>
      </c>
      <c r="W17" s="167">
        <v>12</v>
      </c>
      <c r="X17" s="168">
        <v>9</v>
      </c>
      <c r="Y17" s="168">
        <v>6</v>
      </c>
    </row>
    <row r="18" spans="2:29" ht="17.100000000000001" thickBot="1">
      <c r="B18" s="16">
        <v>4</v>
      </c>
      <c r="C18" s="10" t="str">
        <f>IF($B18&gt;C$14,$K$18,$L$18)</f>
        <v>W</v>
      </c>
      <c r="D18" s="44" t="str">
        <f>IF($B18&gt;D$14,$K$18,$L$18)</f>
        <v>B</v>
      </c>
      <c r="E18" s="44" t="str">
        <f>IF($B18&gt;E$14,$K$18,$L$18)</f>
        <v>B</v>
      </c>
      <c r="F18" s="44" t="str">
        <f>IF($B18&gt;F$14,$K$18,$L$18)</f>
        <v>B</v>
      </c>
      <c r="G18" s="44" t="str">
        <f>IF($B18&gt;G$14,$K$18,$L$18)</f>
        <v>B</v>
      </c>
      <c r="H18" s="45" t="str">
        <f>IF($B18&gt;H$14,$K$18,$L$18)</f>
        <v>B</v>
      </c>
      <c r="K18" s="64" t="s">
        <v>9</v>
      </c>
      <c r="L18" s="65" t="s">
        <v>15</v>
      </c>
      <c r="N18" s="200"/>
      <c r="P18" s="144">
        <v>8</v>
      </c>
      <c r="Q18" s="149">
        <v>25</v>
      </c>
      <c r="R18" s="156" t="str">
        <f>IF($P18&gt;R$16,$AB18,$AC18)</f>
        <v>2W</v>
      </c>
      <c r="S18" s="157" t="str">
        <f>IF($P18&gt;S$16,$AB18,$AC18)</f>
        <v>2W</v>
      </c>
      <c r="T18" s="164" t="str">
        <f>IF($P18&gt;T$16,$AB18,$AC18)</f>
        <v>2B</v>
      </c>
      <c r="U18" s="124"/>
      <c r="V18" s="144">
        <v>8</v>
      </c>
      <c r="W18" s="169">
        <f>R$17*$Q18</f>
        <v>25</v>
      </c>
      <c r="X18" s="170">
        <f>S$17*$Q18</f>
        <v>250</v>
      </c>
      <c r="Y18" s="164">
        <f>T$17*$Q18</f>
        <v>625</v>
      </c>
      <c r="AB18" s="64" t="s">
        <v>11</v>
      </c>
      <c r="AC18" s="65" t="s">
        <v>16</v>
      </c>
    </row>
    <row r="19" spans="2:29">
      <c r="B19" s="16">
        <v>4</v>
      </c>
      <c r="C19" s="10" t="str">
        <f>IF($B19&gt;C$14,$K$18,$L$18)</f>
        <v>W</v>
      </c>
      <c r="D19" s="44" t="str">
        <f>IF($B19&gt;D$14,$K$18,$L$18)</f>
        <v>B</v>
      </c>
      <c r="E19" s="44" t="str">
        <f>IF($B19&gt;E$14,$K$18,$L$18)</f>
        <v>B</v>
      </c>
      <c r="F19" s="44" t="str">
        <f>IF($B19&gt;F$14,$K$18,$L$18)</f>
        <v>B</v>
      </c>
      <c r="G19" s="44" t="str">
        <f>IF($B19&gt;G$14,$K$18,$L$18)</f>
        <v>B</v>
      </c>
      <c r="H19" s="45" t="str">
        <f>IF($B19&gt;H$14,$K$18,$L$18)</f>
        <v>B</v>
      </c>
      <c r="J19" s="13" t="s">
        <v>12</v>
      </c>
      <c r="K19" s="12">
        <f>COUNTIFS($C$15:$H$20,K18)</f>
        <v>25</v>
      </c>
      <c r="L19" s="5">
        <f>COUNTIFS($C$15:$H$20,L18)</f>
        <v>11</v>
      </c>
      <c r="N19" s="200"/>
      <c r="P19" s="16">
        <v>5</v>
      </c>
      <c r="Q19" s="150">
        <v>10</v>
      </c>
      <c r="R19" s="158" t="str">
        <f>IF($P19&gt;R$16,$AB18,$AC18)</f>
        <v>2W</v>
      </c>
      <c r="S19" s="159" t="str">
        <f>IF($P19&gt;S$16,$AB18,$AC18)</f>
        <v>2W</v>
      </c>
      <c r="T19" s="160" t="str">
        <f>IF($P19&gt;T$16,$AB18,$AC18)</f>
        <v>2W</v>
      </c>
      <c r="U19" s="124"/>
      <c r="V19" s="16">
        <v>5</v>
      </c>
      <c r="W19" s="171">
        <f>R$17*$Q19</f>
        <v>10</v>
      </c>
      <c r="X19" s="55">
        <f>S$17*$Q19</f>
        <v>100</v>
      </c>
      <c r="Y19" s="56">
        <f>T$17*$Q19</f>
        <v>250</v>
      </c>
      <c r="AA19" s="13" t="s">
        <v>12</v>
      </c>
      <c r="AB19" s="12">
        <f>SUMIF(R18:T20,AB18,W18:Y20)</f>
        <v>625</v>
      </c>
      <c r="AC19" s="5">
        <f>SUMIF(R18:T20,AC18,W18:Y20)</f>
        <v>671</v>
      </c>
    </row>
    <row r="20" spans="2:29" ht="18" thickBot="1">
      <c r="B20" s="17">
        <v>1</v>
      </c>
      <c r="C20" s="11" t="str">
        <f>IF($B20&gt;C$14,$K$18,$L$18)</f>
        <v>W</v>
      </c>
      <c r="D20" s="6" t="str">
        <f>IF($B20&gt;D$14,$K$18,$L$18)</f>
        <v>W</v>
      </c>
      <c r="E20" s="6" t="str">
        <f>IF($B20&gt;E$14,$K$18,$L$18)</f>
        <v>W</v>
      </c>
      <c r="F20" s="6" t="str">
        <f>IF($B20&gt;F$14,$K$18,$L$18)</f>
        <v>W</v>
      </c>
      <c r="G20" s="6" t="str">
        <f>IF($B20&gt;G$14,$K$18,$L$18)</f>
        <v>W</v>
      </c>
      <c r="H20" s="7" t="str">
        <f>IF($B20&gt;H$14,$K$18,$L$18)</f>
        <v>W</v>
      </c>
      <c r="J20" s="14" t="s">
        <v>13</v>
      </c>
      <c r="K20" s="20">
        <f>K19/36</f>
        <v>0.69444444444444442</v>
      </c>
      <c r="L20" s="21">
        <f>L19/36</f>
        <v>0.30555555555555558</v>
      </c>
      <c r="N20" s="200"/>
      <c r="P20" s="17">
        <v>2</v>
      </c>
      <c r="Q20" s="151">
        <v>1</v>
      </c>
      <c r="R20" s="161" t="str">
        <f>IF($P20&gt;R$16,$AB18,$AC18)</f>
        <v>2W</v>
      </c>
      <c r="S20" s="162" t="str">
        <f>IF($P20&gt;S$16,$AB18,$AC18)</f>
        <v>2W</v>
      </c>
      <c r="T20" s="163" t="str">
        <f>IF($P20&gt;T$16,$AB18,$AC18)</f>
        <v>2W</v>
      </c>
      <c r="U20" s="124"/>
      <c r="V20" s="17">
        <v>2</v>
      </c>
      <c r="W20" s="172">
        <f>R$17*$Q20</f>
        <v>1</v>
      </c>
      <c r="X20" s="57">
        <f>S$17*$Q20</f>
        <v>10</v>
      </c>
      <c r="Y20" s="58">
        <f>T$17*$Q20</f>
        <v>25</v>
      </c>
      <c r="AA20" s="14" t="s">
        <v>13</v>
      </c>
      <c r="AB20" s="20">
        <f>AB19/(36*36)</f>
        <v>0.48225308641975306</v>
      </c>
      <c r="AC20" s="21">
        <f>AC19/(36*36)</f>
        <v>0.51774691358024694</v>
      </c>
    </row>
    <row r="21" spans="2:29">
      <c r="N21" s="200"/>
    </row>
    <row r="22" spans="2:29" ht="17.100000000000001" thickBot="1">
      <c r="N22" s="200"/>
    </row>
    <row r="23" spans="2:29" ht="20.100000000000001" thickBot="1">
      <c r="B23" s="30" t="s">
        <v>17</v>
      </c>
      <c r="C23" s="23">
        <v>5</v>
      </c>
      <c r="D23" s="18">
        <v>5</v>
      </c>
      <c r="E23" s="18">
        <v>5</v>
      </c>
      <c r="F23" s="18">
        <v>2</v>
      </c>
      <c r="G23" s="18">
        <v>2</v>
      </c>
      <c r="H23" s="19">
        <v>2</v>
      </c>
      <c r="N23" s="200"/>
      <c r="P23" s="125" t="s">
        <v>5</v>
      </c>
      <c r="V23" s="125" t="s">
        <v>6</v>
      </c>
    </row>
    <row r="24" spans="2:29" ht="17.100000000000001" thickBot="1">
      <c r="B24" s="46">
        <v>6</v>
      </c>
      <c r="C24" s="52" t="str">
        <f>IF($B24&gt;C$23,$K$27,$L$27)</f>
        <v>W</v>
      </c>
      <c r="D24" s="53" t="str">
        <f>IF($B24&gt;D$23,$K$27,$L$27)</f>
        <v>W</v>
      </c>
      <c r="E24" s="53" t="str">
        <f>IF($B24&gt;E$23,$K$27,$L$27)</f>
        <v>W</v>
      </c>
      <c r="F24" s="53" t="str">
        <f>IF($B24&gt;F$23,$K$27,$L$27)</f>
        <v>W</v>
      </c>
      <c r="G24" s="53" t="str">
        <f>IF($B24&gt;G$23,$K$27,$L$27)</f>
        <v>W</v>
      </c>
      <c r="H24" s="54" t="str">
        <f>IF($B24&gt;H$23,$K$27,$L$27)</f>
        <v>W</v>
      </c>
      <c r="N24" s="200"/>
    </row>
    <row r="25" spans="2:29" ht="17.100000000000001" thickBot="1">
      <c r="B25" s="47">
        <v>3</v>
      </c>
      <c r="C25" s="38" t="str">
        <f>IF($B25&gt;C$23,$K$27,$L$27)</f>
        <v>N</v>
      </c>
      <c r="D25" s="39" t="str">
        <f>IF($B25&gt;D$23,$K$27,$L$27)</f>
        <v>N</v>
      </c>
      <c r="E25" s="39" t="str">
        <f>IF($B25&gt;E$23,$K$27,$L$27)</f>
        <v>N</v>
      </c>
      <c r="F25" s="55" t="str">
        <f>IF($B25&gt;F$23,$K$27,$L$27)</f>
        <v>W</v>
      </c>
      <c r="G25" s="55" t="str">
        <f>IF($B25&gt;G$23,$K$27,$L$27)</f>
        <v>W</v>
      </c>
      <c r="H25" s="56" t="str">
        <f>IF($B25&gt;H$23,$K$27,$L$27)</f>
        <v>W</v>
      </c>
      <c r="N25" s="200"/>
      <c r="P25" s="30" t="s">
        <v>17</v>
      </c>
      <c r="Q25" s="4"/>
      <c r="R25" s="23">
        <v>10</v>
      </c>
      <c r="S25" s="18">
        <v>7</v>
      </c>
      <c r="T25" s="18">
        <v>4</v>
      </c>
      <c r="U25" s="123"/>
    </row>
    <row r="26" spans="2:29" ht="17.100000000000001" thickBot="1">
      <c r="B26" s="47">
        <v>3</v>
      </c>
      <c r="C26" s="38" t="str">
        <f>IF($B26&gt;C$23,$K$27,$L$27)</f>
        <v>N</v>
      </c>
      <c r="D26" s="39" t="str">
        <f>IF($B26&gt;D$23,$K$27,$L$27)</f>
        <v>N</v>
      </c>
      <c r="E26" s="39" t="str">
        <f>IF($B26&gt;E$23,$K$27,$L$27)</f>
        <v>N</v>
      </c>
      <c r="F26" s="55" t="str">
        <f>IF($B26&gt;F$23,$K$27,$L$27)</f>
        <v>W</v>
      </c>
      <c r="G26" s="55" t="str">
        <f>IF($B26&gt;G$23,$K$27,$L$27)</f>
        <v>W</v>
      </c>
      <c r="H26" s="56" t="str">
        <f>IF($B26&gt;H$23,$K$27,$L$27)</f>
        <v>W</v>
      </c>
      <c r="N26" s="200"/>
      <c r="P26" s="84"/>
      <c r="Q26" s="83" t="s">
        <v>7</v>
      </c>
      <c r="R26" s="202">
        <v>25</v>
      </c>
      <c r="S26" s="203">
        <v>10</v>
      </c>
      <c r="T26" s="204">
        <v>1</v>
      </c>
      <c r="V26" s="30" t="s">
        <v>17</v>
      </c>
      <c r="W26" s="23">
        <v>10</v>
      </c>
      <c r="X26" s="18">
        <v>7</v>
      </c>
      <c r="Y26" s="18">
        <v>4</v>
      </c>
    </row>
    <row r="27" spans="2:29" ht="17.100000000000001" thickBot="1">
      <c r="B27" s="47">
        <v>3</v>
      </c>
      <c r="C27" s="38" t="str">
        <f>IF($B27&gt;C$23,$K$27,$L$27)</f>
        <v>N</v>
      </c>
      <c r="D27" s="39" t="str">
        <f>IF($B27&gt;D$23,$K$27,$L$27)</f>
        <v>N</v>
      </c>
      <c r="E27" s="39" t="str">
        <f>IF($B27&gt;E$23,$K$27,$L$27)</f>
        <v>N</v>
      </c>
      <c r="F27" s="55" t="str">
        <f>IF($B27&gt;F$23,$K$27,$L$27)</f>
        <v>W</v>
      </c>
      <c r="G27" s="55" t="str">
        <f>IF($B27&gt;G$23,$K$27,$L$27)</f>
        <v>W</v>
      </c>
      <c r="H27" s="56" t="str">
        <f>IF($B27&gt;H$23,$K$27,$L$27)</f>
        <v>W</v>
      </c>
      <c r="K27" s="66" t="s">
        <v>15</v>
      </c>
      <c r="L27" s="67" t="s">
        <v>8</v>
      </c>
      <c r="N27" s="200"/>
      <c r="P27" s="46">
        <v>12</v>
      </c>
      <c r="Q27" s="13">
        <v>9</v>
      </c>
      <c r="R27" s="169" t="str">
        <f>IF($P27&gt;R$25,$AB27,$AC27)</f>
        <v>2W</v>
      </c>
      <c r="S27" s="170" t="str">
        <f>IF($P27&gt;S$25,$AB27,$AC27)</f>
        <v>2W</v>
      </c>
      <c r="T27" s="173" t="str">
        <f>IF($P27&gt;T$25,$AB27,$AC27)</f>
        <v>2W</v>
      </c>
      <c r="U27" s="124"/>
      <c r="V27" s="46">
        <v>12</v>
      </c>
      <c r="W27" s="52">
        <f>R$26*$Q27</f>
        <v>225</v>
      </c>
      <c r="X27" s="52">
        <f>S$26*$Q27</f>
        <v>90</v>
      </c>
      <c r="Y27" s="52">
        <f>T$26*$Q27</f>
        <v>9</v>
      </c>
      <c r="AB27" s="66" t="s">
        <v>16</v>
      </c>
      <c r="AC27" s="67" t="s">
        <v>10</v>
      </c>
    </row>
    <row r="28" spans="2:29">
      <c r="B28" s="47">
        <v>3</v>
      </c>
      <c r="C28" s="38" t="str">
        <f>IF($B28&gt;C$23,$K$27,$L$27)</f>
        <v>N</v>
      </c>
      <c r="D28" s="39" t="str">
        <f>IF($B28&gt;D$23,$K$27,$L$27)</f>
        <v>N</v>
      </c>
      <c r="E28" s="39" t="str">
        <f>IF($B28&gt;E$23,$K$27,$L$27)</f>
        <v>N</v>
      </c>
      <c r="F28" s="55" t="str">
        <f>IF($B28&gt;F$23,$K$27,$L$27)</f>
        <v>W</v>
      </c>
      <c r="G28" s="55" t="str">
        <f>IF($B28&gt;G$23,$K$27,$L$27)</f>
        <v>W</v>
      </c>
      <c r="H28" s="56" t="str">
        <f>IF($B28&gt;H$23,$K$27,$L$27)</f>
        <v>W</v>
      </c>
      <c r="J28" s="13" t="s">
        <v>12</v>
      </c>
      <c r="K28" s="61">
        <f>COUNTIFS($C$24:$H$29,K27)</f>
        <v>21</v>
      </c>
      <c r="L28" s="8">
        <f>COUNTIFS($C$24:$H$29,L27)</f>
        <v>15</v>
      </c>
      <c r="N28" s="200"/>
      <c r="P28" s="47">
        <v>9</v>
      </c>
      <c r="Q28" s="205">
        <v>18</v>
      </c>
      <c r="R28" s="154" t="str">
        <f>IF($P28&gt;R$25,$AB27,$AC27)</f>
        <v>2N</v>
      </c>
      <c r="S28" s="55" t="str">
        <f>IF($P28&gt;S$25,$AB27,$AC27)</f>
        <v>2W</v>
      </c>
      <c r="T28" s="56" t="str">
        <f>IF($P28&gt;T$25,$AB27,$AC27)</f>
        <v>2W</v>
      </c>
      <c r="U28" s="124"/>
      <c r="V28" s="47">
        <v>9</v>
      </c>
      <c r="W28" s="38">
        <f>R$26*$Q28</f>
        <v>450</v>
      </c>
      <c r="X28" s="165">
        <f>S$26*$Q28</f>
        <v>180</v>
      </c>
      <c r="Y28" s="165">
        <f>T$26*$Q28</f>
        <v>18</v>
      </c>
      <c r="AA28" s="13" t="s">
        <v>12</v>
      </c>
      <c r="AB28" s="12">
        <f>SUMIF(R27:T29,AB27,W27:Y29)</f>
        <v>531</v>
      </c>
      <c r="AC28" s="5">
        <f>SUMIF(R27:T29,AC27,W27:Y29)</f>
        <v>765</v>
      </c>
    </row>
    <row r="29" spans="2:29" ht="18" thickBot="1">
      <c r="B29" s="48">
        <v>3</v>
      </c>
      <c r="C29" s="59" t="str">
        <f>IF($B29&gt;C$23,$K$27,$L$27)</f>
        <v>N</v>
      </c>
      <c r="D29" s="60" t="str">
        <f>IF($B29&gt;D$23,$K$27,$L$27)</f>
        <v>N</v>
      </c>
      <c r="E29" s="60" t="str">
        <f>IF($B29&gt;E$23,$K$27,$L$27)</f>
        <v>N</v>
      </c>
      <c r="F29" s="57" t="str">
        <f>IF($B29&gt;F$23,$K$27,$L$27)</f>
        <v>W</v>
      </c>
      <c r="G29" s="57" t="str">
        <f>IF($B29&gt;G$23,$K$27,$L$27)</f>
        <v>W</v>
      </c>
      <c r="H29" s="58" t="str">
        <f>IF($B29&gt;H$23,$K$27,$L$27)</f>
        <v>W</v>
      </c>
      <c r="J29" s="14" t="s">
        <v>13</v>
      </c>
      <c r="K29" s="20">
        <f>K28/36</f>
        <v>0.58333333333333337</v>
      </c>
      <c r="L29" s="21">
        <f>L28/36</f>
        <v>0.41666666666666669</v>
      </c>
      <c r="N29" s="200"/>
      <c r="P29" s="48">
        <v>6</v>
      </c>
      <c r="Q29" s="206">
        <v>9</v>
      </c>
      <c r="R29" s="155" t="str">
        <f>IF($P29&gt;R$25,$AB27,$AC27)</f>
        <v>2N</v>
      </c>
      <c r="S29" s="60" t="str">
        <f>IF($P29&gt;S$25,$AB27,$AC27)</f>
        <v>2N</v>
      </c>
      <c r="T29" s="58" t="str">
        <f>IF($P29&gt;T$25,$AB27,$AC27)</f>
        <v>2W</v>
      </c>
      <c r="U29" s="124"/>
      <c r="V29" s="48">
        <v>6</v>
      </c>
      <c r="W29" s="59">
        <f>R$26*$Q29</f>
        <v>225</v>
      </c>
      <c r="X29" s="59">
        <f>S$26*$Q29</f>
        <v>90</v>
      </c>
      <c r="Y29" s="166">
        <f>T$26*$Q29</f>
        <v>9</v>
      </c>
      <c r="AA29" s="14" t="s">
        <v>13</v>
      </c>
      <c r="AB29" s="20">
        <f>AB28/(36*36)</f>
        <v>0.40972222222222221</v>
      </c>
      <c r="AC29" s="21">
        <f>AC28/(36*36)</f>
        <v>0.59027777777777779</v>
      </c>
    </row>
    <row r="30" spans="2:29">
      <c r="N30" s="200"/>
    </row>
    <row r="37" ht="17.100000000000001" customHeight="1"/>
    <row r="38" ht="17.100000000000001" customHeight="1"/>
    <row r="39" ht="17.100000000000001" customHeight="1"/>
    <row r="40" ht="17.100000000000001" customHeight="1"/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E251C-2275-E54F-93C5-88872DE5A6C8}">
  <dimension ref="B1:M45"/>
  <sheetViews>
    <sheetView workbookViewId="0"/>
  </sheetViews>
  <sheetFormatPr defaultColWidth="11" defaultRowHeight="15.95"/>
  <cols>
    <col min="1" max="1" width="4.125" customWidth="1"/>
    <col min="2" max="3" width="12.375" customWidth="1"/>
    <col min="4" max="6" width="16.625" customWidth="1"/>
    <col min="7" max="7" width="16.375" customWidth="1"/>
    <col min="8" max="8" width="11.875" customWidth="1"/>
    <col min="12" max="12" width="39.875" customWidth="1"/>
    <col min="14" max="14" width="17.625" customWidth="1"/>
  </cols>
  <sheetData>
    <row r="1" spans="2:12" ht="45" customHeight="1">
      <c r="B1" s="180" t="s">
        <v>18</v>
      </c>
      <c r="C1" s="181"/>
      <c r="D1" s="181"/>
      <c r="E1" s="181"/>
      <c r="F1" s="181"/>
      <c r="G1" s="181"/>
      <c r="H1" s="181"/>
    </row>
    <row r="3" spans="2:12" ht="17.100000000000001" thickBot="1"/>
    <row r="4" spans="2:12" ht="17.100000000000001" thickBot="1">
      <c r="B4" s="87" t="s">
        <v>19</v>
      </c>
      <c r="C4" s="88"/>
      <c r="D4" s="89" t="s">
        <v>20</v>
      </c>
      <c r="E4" s="90" t="s">
        <v>21</v>
      </c>
      <c r="F4" s="91" t="s">
        <v>22</v>
      </c>
    </row>
    <row r="5" spans="2:12" ht="17.100000000000001" customHeight="1">
      <c r="B5" s="77" t="str">
        <f>'Tableaux Proba'!K9</f>
        <v>N</v>
      </c>
      <c r="C5" s="78" t="str">
        <f>'Tableaux Proba'!L9</f>
        <v>B</v>
      </c>
      <c r="D5" s="79">
        <f>'Tableaux Proba'!K11</f>
        <v>0.58333333333333337</v>
      </c>
      <c r="E5" s="80">
        <f>'Tableaux Proba'!L11</f>
        <v>0.41666666666666669</v>
      </c>
      <c r="F5" s="113"/>
      <c r="G5" s="211" t="s">
        <v>23</v>
      </c>
      <c r="H5" s="184"/>
    </row>
    <row r="6" spans="2:12" ht="17.100000000000001" customHeight="1">
      <c r="B6" s="70" t="str">
        <f>'Tableaux Proba'!K18</f>
        <v>B</v>
      </c>
      <c r="C6" s="71" t="str">
        <f>'Tableaux Proba'!L18</f>
        <v>W</v>
      </c>
      <c r="D6" s="68">
        <f>'Tableaux Proba'!K20</f>
        <v>0.69444444444444442</v>
      </c>
      <c r="E6" s="75">
        <f>'Tableaux Proba'!L20</f>
        <v>0.30555555555555558</v>
      </c>
      <c r="F6" s="114"/>
      <c r="G6" s="211"/>
      <c r="H6" s="184"/>
    </row>
    <row r="7" spans="2:12" ht="17.100000000000001" customHeight="1" thickBot="1">
      <c r="B7" s="72" t="str">
        <f>'Tableaux Proba'!K27</f>
        <v>W</v>
      </c>
      <c r="C7" s="73" t="str">
        <f>'Tableaux Proba'!L27</f>
        <v>N</v>
      </c>
      <c r="D7" s="69">
        <f>'Tableaux Proba'!K29</f>
        <v>0.58333333333333337</v>
      </c>
      <c r="E7" s="76">
        <f>'Tableaux Proba'!L29</f>
        <v>0.41666666666666669</v>
      </c>
      <c r="F7" s="115" t="s">
        <v>24</v>
      </c>
      <c r="G7" s="211"/>
      <c r="H7" s="184"/>
    </row>
    <row r="8" spans="2:12" ht="26.1" customHeight="1">
      <c r="B8" s="174" t="str">
        <f>'Tableaux Proba'!AC9</f>
        <v>2B</v>
      </c>
      <c r="C8" s="176" t="str">
        <f>'Tableaux Proba'!AB9</f>
        <v>2N</v>
      </c>
      <c r="D8" s="79">
        <f>'Tableaux Proba'!AC11</f>
        <v>0.59027777777777779</v>
      </c>
      <c r="E8" s="80">
        <f>'Tableaux Proba'!AB11</f>
        <v>0.40972222222222221</v>
      </c>
      <c r="F8" s="113"/>
      <c r="G8" s="211"/>
      <c r="H8" s="184"/>
    </row>
    <row r="9" spans="2:12" ht="17.100000000000001" customHeight="1">
      <c r="B9" s="177" t="str">
        <f>'Tableaux Proba'!AC18</f>
        <v>2W</v>
      </c>
      <c r="C9" s="175" t="str">
        <f>'Tableaux Proba'!AB18</f>
        <v>2B</v>
      </c>
      <c r="D9" s="68">
        <f>'Tableaux Proba'!AC20</f>
        <v>0.51774691358024694</v>
      </c>
      <c r="E9" s="75">
        <f>'Tableaux Proba'!AB20</f>
        <v>0.48225308641975306</v>
      </c>
      <c r="F9" s="114"/>
      <c r="G9" s="211"/>
      <c r="H9" s="184"/>
      <c r="L9" s="1"/>
    </row>
    <row r="10" spans="2:12" ht="17.100000000000001" customHeight="1" thickBot="1">
      <c r="B10" s="179" t="str">
        <f>'Tableaux Proba'!AC27</f>
        <v>2N</v>
      </c>
      <c r="C10" s="178" t="str">
        <f>'Tableaux Proba'!AB27</f>
        <v>2W</v>
      </c>
      <c r="D10" s="69">
        <f>'Tableaux Proba'!AC29</f>
        <v>0.59027777777777779</v>
      </c>
      <c r="E10" s="76">
        <f>'Tableaux Proba'!AB29</f>
        <v>0.40972222222222221</v>
      </c>
      <c r="F10" s="115"/>
      <c r="G10" s="211"/>
      <c r="H10" s="184"/>
      <c r="L10" s="1"/>
    </row>
    <row r="11" spans="2:12">
      <c r="F11" s="74" cm="1">
        <f t="array" ref="F11">MATCH(TRUE,IFERROR(F5:F10,0)&lt;&gt;0,0)+ROW(B4)</f>
        <v>7</v>
      </c>
      <c r="H11" s="184"/>
      <c r="L11" s="1"/>
    </row>
    <row r="12" spans="2:12">
      <c r="F12" s="74" cm="1">
        <f t="array" ref="F12">MATCH(TRUE,IFERROR(F5:F11,0)&lt;&gt;0,0)+ROW(B4)</f>
        <v>7</v>
      </c>
      <c r="L12" s="1"/>
    </row>
    <row r="13" spans="2:12">
      <c r="L13" s="1"/>
    </row>
    <row r="14" spans="2:12" ht="36" customHeight="1">
      <c r="D14" s="212" t="s">
        <v>25</v>
      </c>
      <c r="E14" s="212"/>
      <c r="F14" s="212"/>
      <c r="H14" s="210" t="s">
        <v>26</v>
      </c>
      <c r="I14" s="210"/>
      <c r="J14" s="210"/>
      <c r="K14" s="210"/>
      <c r="L14" s="1"/>
    </row>
    <row r="15" spans="2:12" ht="17.100000000000001" thickBot="1">
      <c r="L15" s="1"/>
    </row>
    <row r="16" spans="2:12" ht="17.100000000000001" thickBot="1">
      <c r="D16" s="185" t="s">
        <v>22</v>
      </c>
      <c r="E16" s="186" t="str" cm="1">
        <f t="array" aca="1" ref="E16" ca="1">INDIRECT(ADDRESS($F$11,COLUMN(B$4),2))</f>
        <v>W</v>
      </c>
      <c r="F16" s="187" t="str" cm="1">
        <f t="array" aca="1" ref="F16" ca="1">INDIRECT(ADDRESS($F$11,COLUMN(C$4),2))</f>
        <v>N</v>
      </c>
      <c r="H16" s="87" t="s">
        <v>27</v>
      </c>
      <c r="I16" s="86"/>
      <c r="J16" s="86"/>
      <c r="K16" s="92">
        <v>15</v>
      </c>
      <c r="L16" s="112" t="s">
        <v>28</v>
      </c>
    </row>
    <row r="17" spans="4:13" ht="17.100000000000001" thickBot="1">
      <c r="D17" s="84" t="s">
        <v>29</v>
      </c>
      <c r="E17" s="20" cm="1">
        <f t="array" aca="1" ref="E17" ca="1">INDIRECT(ADDRESS($F$11,COLUMN(D$4),2))</f>
        <v>0.58333333333333337</v>
      </c>
      <c r="F17" s="21" cm="1">
        <f t="array" aca="1" ref="F17" ca="1">INDIRECT(ADDRESS($F$11,COLUMN(E$4),2))</f>
        <v>0.41666666666666669</v>
      </c>
      <c r="H17" s="82" t="s">
        <v>30</v>
      </c>
      <c r="I17" s="86"/>
      <c r="J17" s="86"/>
      <c r="K17" s="116">
        <f ca="1">RAND()+0*NOW()</f>
        <v>0.61937440779092456</v>
      </c>
      <c r="L17" s="208" t="s">
        <v>31</v>
      </c>
      <c r="M17" s="188"/>
    </row>
    <row r="18" spans="4:13">
      <c r="H18" s="207" t="s">
        <v>32</v>
      </c>
      <c r="I18" s="122" t="str" cm="1">
        <f t="array" aca="1" ref="I18" ca="1">INDEX($I$21:$I$45,25-COUNTIF($I$21:$I$45,NA()))</f>
        <v>N</v>
      </c>
      <c r="L18" s="1"/>
    </row>
    <row r="19" spans="4:13" ht="17.100000000000001" thickBot="1">
      <c r="L19" s="1"/>
    </row>
    <row r="20" spans="4:13" ht="51.95" thickBot="1">
      <c r="D20" s="109" t="s">
        <v>33</v>
      </c>
      <c r="E20" s="110" t="str">
        <f ca="1">"Probabilité de gagner pour "&amp;E16</f>
        <v>Probabilité de gagner pour W</v>
      </c>
      <c r="F20" s="111" t="str">
        <f ca="1">"Probabilité de gagner pour "&amp;F16</f>
        <v>Probabilité de gagner pour N</v>
      </c>
      <c r="H20" s="109" t="s">
        <v>34</v>
      </c>
      <c r="I20" s="110" t="s">
        <v>35</v>
      </c>
      <c r="J20" s="111" t="str">
        <f ca="1">"Nb de points pour "&amp;E16</f>
        <v>Nb de points pour W</v>
      </c>
      <c r="K20" s="109" t="str">
        <f ca="1">"Nb de points pour "&amp;F16</f>
        <v>Nb de points pour N</v>
      </c>
      <c r="L20" s="1"/>
    </row>
    <row r="21" spans="4:13">
      <c r="D21" s="83">
        <v>1</v>
      </c>
      <c r="E21" s="189">
        <f ca="1">1-_xlfn.BINOM.DIST(ROUNDDOWN(D21/2,0),D21,$E$17,TRUE)</f>
        <v>0.58333333333333337</v>
      </c>
      <c r="F21" s="190">
        <f ca="1">1-_xlfn.BINOM.DIST(ROUNDDOWN(D21/2,0),D21,$F$17,TRUE)</f>
        <v>0.41666666666666674</v>
      </c>
      <c r="H21" s="100">
        <v>1</v>
      </c>
      <c r="I21" s="83" t="str">
        <f ca="1">IF(RAND() &lt; $E$17, E16,F16)</f>
        <v>N</v>
      </c>
      <c r="J21" s="120">
        <f ca="1">COUNTIF($I$21:I21,$E$16)</f>
        <v>0</v>
      </c>
      <c r="K21" s="4">
        <f ca="1">IF(I21="","",COUNTIF($I$21:I21,$F$16))</f>
        <v>1</v>
      </c>
    </row>
    <row r="22" spans="4:13">
      <c r="D22" s="195">
        <f t="shared" ref="D22:D33" si="0">D21+2</f>
        <v>3</v>
      </c>
      <c r="E22" s="196">
        <f t="shared" ref="E22:E33" ca="1" si="1">1-_xlfn.BINOM.DIST(ROUNDDOWN(D22/2,0),D22,$E$17,TRUE)</f>
        <v>0.62384259259259267</v>
      </c>
      <c r="F22" s="197">
        <f ca="1">1-_xlfn.BINOM.DIST(ROUNDDOWN(D22/2,0),D22,$F$17,TRUE)</f>
        <v>0.37615740740740744</v>
      </c>
      <c r="H22" s="101">
        <f>IF(H21&lt;=$K$16-1,H21+1,NA())</f>
        <v>2</v>
      </c>
      <c r="I22" s="98" t="str">
        <f ca="1">IF(NOT(ISNA(H22)),IF(RAND() &lt; $E$17, $E$16, $F$16),NA())</f>
        <v>W</v>
      </c>
      <c r="J22" s="119">
        <f ca="1">IF(NOT(ISNA(H22)),COUNTIF($I$21:I22,$E$16),NA())</f>
        <v>1</v>
      </c>
      <c r="K22" s="117">
        <f ca="1">IF(ISNA(I22),NA(),COUNTIF($I$21:I22,$F$16))</f>
        <v>1</v>
      </c>
    </row>
    <row r="23" spans="4:13">
      <c r="D23" s="98">
        <f t="shared" si="0"/>
        <v>5</v>
      </c>
      <c r="E23" s="191">
        <f t="shared" ca="1" si="1"/>
        <v>0.65338059413580241</v>
      </c>
      <c r="F23" s="192">
        <f ca="1">1-_xlfn.BINOM.DIST(ROUNDDOWN(D23/2,0),D23,$F$17,TRUE)</f>
        <v>0.34661940586419759</v>
      </c>
      <c r="H23" s="101">
        <f>IF(H22&lt;=$K$16-1,H22+1,NA())</f>
        <v>3</v>
      </c>
      <c r="I23" s="98" t="str">
        <f ca="1">IF(NOT(ISNA(H23)),IF(RAND() &lt; $E$17, $E$16, $F$16),NA())</f>
        <v>W</v>
      </c>
      <c r="J23" s="119">
        <f ca="1">IF(NOT(ISNA(H23)),COUNTIF($I$21:I23,$E$16),NA())</f>
        <v>2</v>
      </c>
      <c r="K23" s="117">
        <f ca="1">IF(ISNA(I23),NA(),COUNTIF($I$21:I23,$F$16))</f>
        <v>1</v>
      </c>
    </row>
    <row r="24" spans="4:13">
      <c r="D24" s="195">
        <f t="shared" si="0"/>
        <v>7</v>
      </c>
      <c r="E24" s="196">
        <f t="shared" ca="1" si="1"/>
        <v>0.67731184538608824</v>
      </c>
      <c r="F24" s="197">
        <f ca="1">1-_xlfn.BINOM.DIST(ROUNDDOWN(D24/2,0),D24,$F$17,TRUE)</f>
        <v>0.32268815461391187</v>
      </c>
      <c r="H24" s="101">
        <f>IF(H23&lt;=$K$16-1,H23+1,NA())</f>
        <v>4</v>
      </c>
      <c r="I24" s="98" t="str">
        <f ca="1">IF(NOT(ISNA(H24)),IF(RAND() &lt; $E$17, $E$16, $F$16),NA())</f>
        <v>W</v>
      </c>
      <c r="J24" s="119">
        <f ca="1">IF(NOT(ISNA(H24)),COUNTIF($I$21:I24,$E$16),NA())</f>
        <v>3</v>
      </c>
      <c r="K24" s="117">
        <f ca="1">IF(ISNA(I24),NA(),COUNTIF($I$21:I24,$F$16))</f>
        <v>1</v>
      </c>
    </row>
    <row r="25" spans="4:13">
      <c r="D25" s="98">
        <f t="shared" si="0"/>
        <v>9</v>
      </c>
      <c r="E25" s="191">
        <f t="shared" ca="1" si="1"/>
        <v>0.69767002787331067</v>
      </c>
      <c r="F25" s="192">
        <f ca="1">1-_xlfn.BINOM.DIST(ROUNDDOWN(D25/2,0),D25,$F$17,TRUE)</f>
        <v>0.30232997212668966</v>
      </c>
      <c r="H25" s="101">
        <f>IF(H24&lt;=$K$16-1,H24+1,NA())</f>
        <v>5</v>
      </c>
      <c r="I25" s="98" t="str">
        <f ca="1">IF(NOT(ISNA(H25)),IF(RAND() &lt; $E$17, $E$16, $F$16),NA())</f>
        <v>N</v>
      </c>
      <c r="J25" s="119">
        <f ca="1">IF(NOT(ISNA(H25)),COUNTIF($I$21:I25,$E$16),NA())</f>
        <v>3</v>
      </c>
      <c r="K25" s="117">
        <f ca="1">IF(ISNA(I25),NA(),COUNTIF($I$21:I25,$F$16))</f>
        <v>2</v>
      </c>
    </row>
    <row r="26" spans="4:13">
      <c r="D26" s="195">
        <f t="shared" si="0"/>
        <v>11</v>
      </c>
      <c r="E26" s="196">
        <f t="shared" ca="1" si="1"/>
        <v>0.71548343754963017</v>
      </c>
      <c r="F26" s="197">
        <f ca="1">1-_xlfn.BINOM.DIST(ROUNDDOWN(D26/2,0),D26,$F$17,TRUE)</f>
        <v>0.28451656245037005</v>
      </c>
      <c r="H26" s="101">
        <f>IF(H25&lt;=$K$16-1,H25+1,NA())</f>
        <v>6</v>
      </c>
      <c r="I26" s="98" t="str">
        <f ca="1">IF(NOT(ISNA(H26)),IF(RAND() &lt; $E$17, $E$16, $F$16),NA())</f>
        <v>W</v>
      </c>
      <c r="J26" s="119">
        <f ca="1">IF(NOT(ISNA(H26)),COUNTIF($I$21:I26,$E$16),NA())</f>
        <v>4</v>
      </c>
      <c r="K26" s="117">
        <f ca="1">IF(ISNA(I26),NA(),COUNTIF($I$21:I26,$F$16))</f>
        <v>2</v>
      </c>
    </row>
    <row r="27" spans="4:13">
      <c r="D27" s="98">
        <f t="shared" si="0"/>
        <v>13</v>
      </c>
      <c r="E27" s="191">
        <f t="shared" ca="1" si="1"/>
        <v>0.73135881422875737</v>
      </c>
      <c r="F27" s="192">
        <f ca="1">1-_xlfn.BINOM.DIST(ROUNDDOWN(D27/2,0),D27,$F$17,TRUE)</f>
        <v>0.26864118577124285</v>
      </c>
      <c r="H27" s="101">
        <f>IF(H26&lt;=$K$16-1,H26+1,NA())</f>
        <v>7</v>
      </c>
      <c r="I27" s="98" t="str">
        <f ca="1">IF(NOT(ISNA(H27)),IF(RAND() &lt; $E$17, $E$16, $F$16),NA())</f>
        <v>N</v>
      </c>
      <c r="J27" s="119">
        <f ca="1">IF(NOT(ISNA(H27)),COUNTIF($I$21:I27,$E$16),NA())</f>
        <v>4</v>
      </c>
      <c r="K27" s="117">
        <f ca="1">IF(ISNA(I27),NA(),COUNTIF($I$21:I27,$F$16))</f>
        <v>3</v>
      </c>
    </row>
    <row r="28" spans="4:13">
      <c r="D28" s="195">
        <f t="shared" si="0"/>
        <v>15</v>
      </c>
      <c r="E28" s="196">
        <f t="shared" ca="1" si="1"/>
        <v>0.74569075150852515</v>
      </c>
      <c r="F28" s="197">
        <f ca="1">1-_xlfn.BINOM.DIST(ROUNDDOWN(D28/2,0),D28,$F$17,TRUE)</f>
        <v>0.25430924849147496</v>
      </c>
      <c r="H28" s="101">
        <f>IF(H27&lt;=$K$16-1,H27+1,NA())</f>
        <v>8</v>
      </c>
      <c r="I28" s="98" t="str">
        <f ca="1">IF(NOT(ISNA(H28)),IF(RAND() &lt; $E$17, $E$16, $F$16),NA())</f>
        <v>W</v>
      </c>
      <c r="J28" s="119">
        <f ca="1">IF(NOT(ISNA(H28)),COUNTIF($I$21:I28,$E$16),NA())</f>
        <v>5</v>
      </c>
      <c r="K28" s="117">
        <f ca="1">IF(ISNA(I28),NA(),COUNTIF($I$21:I28,$F$16))</f>
        <v>3</v>
      </c>
    </row>
    <row r="29" spans="4:13">
      <c r="D29" s="98">
        <f t="shared" si="0"/>
        <v>17</v>
      </c>
      <c r="E29" s="191">
        <f t="shared" ca="1" si="1"/>
        <v>0.75875371517498014</v>
      </c>
      <c r="F29" s="192">
        <f ca="1">1-_xlfn.BINOM.DIST(ROUNDDOWN(D29/2,0),D29,$F$17,TRUE)</f>
        <v>0.24124628482502031</v>
      </c>
      <c r="H29" s="101">
        <f>IF(H28&lt;=$K$16-1,H28+1,NA())</f>
        <v>9</v>
      </c>
      <c r="I29" s="98" t="str">
        <f ca="1">IF(NOT(ISNA(H29)),IF(RAND() &lt; $E$17, $E$16, $F$16),NA())</f>
        <v>W</v>
      </c>
      <c r="J29" s="119">
        <f ca="1">IF(NOT(ISNA(H29)),COUNTIF($I$21:I29,$E$16),NA())</f>
        <v>6</v>
      </c>
      <c r="K29" s="117">
        <f ca="1">IF(ISNA(I29),NA(),COUNTIF($I$21:I29,$F$16))</f>
        <v>3</v>
      </c>
    </row>
    <row r="30" spans="4:13">
      <c r="D30" s="195">
        <f t="shared" si="0"/>
        <v>19</v>
      </c>
      <c r="E30" s="196">
        <f t="shared" ca="1" si="1"/>
        <v>0.77074825743044417</v>
      </c>
      <c r="F30" s="197">
        <f ca="1">1-_xlfn.BINOM.DIST(ROUNDDOWN(D30/2,0),D30,$F$17,TRUE)</f>
        <v>0.22925174256955627</v>
      </c>
      <c r="H30" s="101">
        <f>IF(H29&lt;=$K$16-1,H29+1,NA())</f>
        <v>10</v>
      </c>
      <c r="I30" s="98" t="str">
        <f ca="1">IF(NOT(ISNA(H30)),IF(RAND() &lt; $E$17, $E$16, $F$16),NA())</f>
        <v>N</v>
      </c>
      <c r="J30" s="119">
        <f ca="1">IF(NOT(ISNA(H30)),COUNTIF($I$21:I30,$E$16),NA())</f>
        <v>6</v>
      </c>
      <c r="K30" s="117">
        <f ca="1">IF(ISNA(I30),NA(),COUNTIF($I$21:I30,$F$16))</f>
        <v>4</v>
      </c>
    </row>
    <row r="31" spans="4:13">
      <c r="D31" s="98">
        <f t="shared" si="0"/>
        <v>21</v>
      </c>
      <c r="E31" s="191">
        <f t="shared" ca="1" si="1"/>
        <v>0.78182654993028267</v>
      </c>
      <c r="F31" s="192">
        <f ca="1">1-_xlfn.BINOM.DIST(ROUNDDOWN(D31/2,0),D31,$F$17,TRUE)</f>
        <v>0.21817345006971778</v>
      </c>
      <c r="H31" s="101">
        <f>IF(H30&lt;=$K$16-1,H30+1,NA())</f>
        <v>11</v>
      </c>
      <c r="I31" s="98" t="str">
        <f ca="1">IF(NOT(ISNA(H31)),IF(RAND() &lt; $E$17, $E$16, $F$16),NA())</f>
        <v>W</v>
      </c>
      <c r="J31" s="119">
        <f ca="1">IF(NOT(ISNA(H31)),COUNTIF($I$21:I31,$E$16),NA())</f>
        <v>7</v>
      </c>
      <c r="K31" s="117">
        <f ca="1">IF(ISNA(I31),NA(),COUNTIF($I$21:I31,$F$16))</f>
        <v>4</v>
      </c>
    </row>
    <row r="32" spans="4:13">
      <c r="D32" s="195">
        <f t="shared" si="0"/>
        <v>23</v>
      </c>
      <c r="E32" s="196">
        <f t="shared" ca="1" si="1"/>
        <v>0.79210754107596593</v>
      </c>
      <c r="F32" s="197">
        <f ca="1">1-_xlfn.BINOM.DIST(ROUNDDOWN(D32/2,0),D32,$F$17,TRUE)</f>
        <v>0.20789245892403441</v>
      </c>
      <c r="H32" s="101">
        <f>IF(H31&lt;=$K$16-1,H31+1,NA())</f>
        <v>12</v>
      </c>
      <c r="I32" s="98" t="str">
        <f ca="1">IF(NOT(ISNA(H32)),IF(RAND() &lt; $E$17, $E$16, $F$16),NA())</f>
        <v>W</v>
      </c>
      <c r="J32" s="119">
        <f ca="1">IF(NOT(ISNA(H32)),COUNTIF($I$21:I32,$E$16),NA())</f>
        <v>8</v>
      </c>
      <c r="K32" s="117">
        <f ca="1">IF(ISNA(I32),NA(),COUNTIF($I$21:I32,$F$16))</f>
        <v>4</v>
      </c>
    </row>
    <row r="33" spans="4:11" ht="17.100000000000001" thickBot="1">
      <c r="D33" s="84">
        <f t="shared" si="0"/>
        <v>25</v>
      </c>
      <c r="E33" s="193">
        <f t="shared" ca="1" si="1"/>
        <v>0.80168647379850633</v>
      </c>
      <c r="F33" s="194">
        <f ca="1">1-_xlfn.BINOM.DIST(ROUNDDOWN(D33/2,0),D33,$F$17,TRUE)</f>
        <v>0.19831352620149412</v>
      </c>
      <c r="H33" s="101">
        <f>IF(H32&lt;=$K$16-1,H32+1,NA())</f>
        <v>13</v>
      </c>
      <c r="I33" s="98" t="str">
        <f ca="1">IF(NOT(ISNA(H33)),IF(RAND() &lt; $E$17, $E$16, $F$16),NA())</f>
        <v>N</v>
      </c>
      <c r="J33" s="119">
        <f ca="1">IF(NOT(ISNA(H33)),COUNTIF($I$21:I33,$E$16),NA())</f>
        <v>8</v>
      </c>
      <c r="K33" s="117">
        <f ca="1">IF(ISNA(I33),NA(),COUNTIF($I$21:I33,$F$16))</f>
        <v>5</v>
      </c>
    </row>
    <row r="34" spans="4:11">
      <c r="E34" s="1"/>
      <c r="H34" s="101">
        <f>IF(H33&lt;=$K$16-1,H33+1,NA())</f>
        <v>14</v>
      </c>
      <c r="I34" s="98" t="str">
        <f ca="1">IF(NOT(ISNA(H34)),IF(RAND() &lt; $E$17, $E$16, $F$16),NA())</f>
        <v>W</v>
      </c>
      <c r="J34" s="119">
        <f ca="1">IF(NOT(ISNA(H34)),COUNTIF($I$21:I34,$E$16),NA())</f>
        <v>9</v>
      </c>
      <c r="K34" s="117">
        <f ca="1">IF(ISNA(I34),NA(),COUNTIF($I$21:I34,$F$16))</f>
        <v>5</v>
      </c>
    </row>
    <row r="35" spans="4:11">
      <c r="D35" s="210" t="s">
        <v>36</v>
      </c>
      <c r="E35" s="210"/>
      <c r="F35" s="210"/>
      <c r="H35" s="101">
        <f>IF(H34&lt;=$K$16-1,H34+1,NA())</f>
        <v>15</v>
      </c>
      <c r="I35" s="98" t="str">
        <f ca="1">IF(NOT(ISNA(H35)),IF(RAND() &lt; $E$17, $E$16, $F$16),NA())</f>
        <v>N</v>
      </c>
      <c r="J35" s="119">
        <f ca="1">IF(NOT(ISNA(H35)),COUNTIF($I$21:I35,$E$16),NA())</f>
        <v>9</v>
      </c>
      <c r="K35" s="117">
        <f ca="1">IF(ISNA(I35),NA(),COUNTIF($I$21:I35,$F$16))</f>
        <v>6</v>
      </c>
    </row>
    <row r="36" spans="4:11">
      <c r="D36" s="210"/>
      <c r="E36" s="210"/>
      <c r="F36" s="210"/>
      <c r="H36" s="101" t="e">
        <f>IF(H35&lt;=$K$16-1,H35+1,NA())</f>
        <v>#N/A</v>
      </c>
      <c r="I36" s="98" t="e">
        <f ca="1">IF(NOT(ISNA(H36)),IF(RAND() &lt; $E$17, $E$16, $F$16),NA())</f>
        <v>#N/A</v>
      </c>
      <c r="J36" s="119" t="e">
        <f>IF(NOT(ISNA(H36)),COUNTIF($I$21:I36,$E$16),NA())</f>
        <v>#N/A</v>
      </c>
      <c r="K36" s="117" t="e">
        <f ca="1">IF(ISNA(I36),NA(),COUNTIF($I$21:I36,$F$16))</f>
        <v>#N/A</v>
      </c>
    </row>
    <row r="37" spans="4:11">
      <c r="E37" s="1"/>
      <c r="H37" s="101" t="e">
        <f>IF(H36&lt;=$K$16-1,H36+1,NA())</f>
        <v>#N/A</v>
      </c>
      <c r="I37" s="98" t="e">
        <f ca="1">IF(NOT(ISNA(H37)),IF(RAND() &lt; $E$17, $E$16, $F$16),NA())</f>
        <v>#N/A</v>
      </c>
      <c r="J37" s="119" t="e">
        <f>IF(NOT(ISNA(H37)),COUNTIF($I$21:I37,$E$16),NA())</f>
        <v>#N/A</v>
      </c>
      <c r="K37" s="117" t="e">
        <f ca="1">IF(ISNA(I37),NA(),COUNTIF($I$21:I37,$F$16))</f>
        <v>#N/A</v>
      </c>
    </row>
    <row r="38" spans="4:11">
      <c r="H38" s="101" t="e">
        <f>IF(H37&lt;=$K$16-1,H37+1,NA())</f>
        <v>#N/A</v>
      </c>
      <c r="I38" s="98" t="e">
        <f ca="1">IF(NOT(ISNA(H38)),IF(RAND() &lt; $E$17, $E$16, $F$16),NA())</f>
        <v>#N/A</v>
      </c>
      <c r="J38" s="119" t="e">
        <f>IF(NOT(ISNA(H38)),COUNTIF($I$21:I38,$E$16),NA())</f>
        <v>#N/A</v>
      </c>
      <c r="K38" s="117" t="e">
        <f ca="1">IF(ISNA(I38),NA(),COUNTIF($I$21:I38,$F$16))</f>
        <v>#N/A</v>
      </c>
    </row>
    <row r="39" spans="4:11">
      <c r="H39" s="101" t="e">
        <f>IF(H38&lt;=$K$16-1,H38+1,NA())</f>
        <v>#N/A</v>
      </c>
      <c r="I39" s="98" t="e">
        <f ca="1">IF(NOT(ISNA(H39)),IF(RAND() &lt; $E$17, $E$16, $F$16),NA())</f>
        <v>#N/A</v>
      </c>
      <c r="J39" s="119" t="e">
        <f>IF(NOT(ISNA(H39)),COUNTIF($I$21:I39,$E$16),NA())</f>
        <v>#N/A</v>
      </c>
      <c r="K39" s="117" t="e">
        <f ca="1">IF(ISNA(I39),NA(),COUNTIF($I$21:I39,$F$16))</f>
        <v>#N/A</v>
      </c>
    </row>
    <row r="40" spans="4:11">
      <c r="H40" s="101" t="e">
        <f>IF(H39&lt;=$K$16-1,H39+1,NA())</f>
        <v>#N/A</v>
      </c>
      <c r="I40" s="98" t="e">
        <f ca="1">IF(NOT(ISNA(H40)),IF(RAND() &lt; $E$17, $E$16, $F$16),NA())</f>
        <v>#N/A</v>
      </c>
      <c r="J40" s="119" t="e">
        <f>IF(NOT(ISNA(H40)),COUNTIF($I$21:I40,$E$16),NA())</f>
        <v>#N/A</v>
      </c>
      <c r="K40" s="117" t="e">
        <f ca="1">IF(ISNA(I40),NA(),COUNTIF($I$21:I40,$F$16))</f>
        <v>#N/A</v>
      </c>
    </row>
    <row r="41" spans="4:11">
      <c r="H41" s="101" t="e">
        <f>IF(H40&lt;=$K$16-1,H40+1,NA())</f>
        <v>#N/A</v>
      </c>
      <c r="I41" s="98" t="e">
        <f ca="1">IF(NOT(ISNA(H41)),IF(RAND() &lt; $E$17, $E$16, $F$16),NA())</f>
        <v>#N/A</v>
      </c>
      <c r="J41" s="119" t="e">
        <f>IF(NOT(ISNA(H41)),COUNTIF($I$21:I41,$E$16),NA())</f>
        <v>#N/A</v>
      </c>
      <c r="K41" s="117" t="e">
        <f ca="1">IF(ISNA(I41),NA(),COUNTIF($I$21:I41,$F$16))</f>
        <v>#N/A</v>
      </c>
    </row>
    <row r="42" spans="4:11">
      <c r="H42" s="101" t="e">
        <f>IF(H41&lt;=$K$16-1,H41+1,NA())</f>
        <v>#N/A</v>
      </c>
      <c r="I42" s="98" t="e">
        <f ca="1">IF(NOT(ISNA(H42)),IF(RAND() &lt; $E$17, $E$16, $F$16),NA())</f>
        <v>#N/A</v>
      </c>
      <c r="J42" s="119" t="e">
        <f>IF(NOT(ISNA(H42)),COUNTIF($I$21:I42,$E$16),NA())</f>
        <v>#N/A</v>
      </c>
      <c r="K42" s="117" t="e">
        <f ca="1">IF(ISNA(I42),NA(),COUNTIF($I$21:I42,$F$16))</f>
        <v>#N/A</v>
      </c>
    </row>
    <row r="43" spans="4:11">
      <c r="H43" s="101" t="e">
        <f>IF(H42&lt;=$K$16-1,H42+1,NA())</f>
        <v>#N/A</v>
      </c>
      <c r="I43" s="98" t="e">
        <f ca="1">IF(NOT(ISNA(H43)),IF(RAND() &lt; $E$17, $E$16, $F$16),NA())</f>
        <v>#N/A</v>
      </c>
      <c r="J43" s="119" t="e">
        <f>IF(NOT(ISNA(H43)),COUNTIF($I$21:I43,$E$16),NA())</f>
        <v>#N/A</v>
      </c>
      <c r="K43" s="117" t="e">
        <f ca="1">IF(ISNA(I43),NA(),COUNTIF($I$21:I43,$F$16))</f>
        <v>#N/A</v>
      </c>
    </row>
    <row r="44" spans="4:11">
      <c r="H44" s="101" t="e">
        <f>IF(H43&lt;=$K$16-1,H43+1,NA())</f>
        <v>#N/A</v>
      </c>
      <c r="I44" s="98" t="e">
        <f ca="1">IF(NOT(ISNA(H44)),IF(RAND() &lt; $E$17, $E$16, $F$16),NA())</f>
        <v>#N/A</v>
      </c>
      <c r="J44" s="119" t="e">
        <f>IF(NOT(ISNA(H44)),COUNTIF($I$21:I44,$E$16),NA())</f>
        <v>#N/A</v>
      </c>
      <c r="K44" s="117" t="e">
        <f ca="1">IF(ISNA(I44),NA(),COUNTIF($I$21:I44,$F$16))</f>
        <v>#N/A</v>
      </c>
    </row>
    <row r="45" spans="4:11" ht="17.100000000000001" thickBot="1">
      <c r="H45" s="102" t="e">
        <f>IF(H44&lt;=$K$16-1,H44+1,NA())</f>
        <v>#N/A</v>
      </c>
      <c r="I45" s="84" t="e">
        <f ca="1">IF(NOT(ISNA(H45)),IF(RAND() &lt; $E$17, $E$16, $F$16),NA())</f>
        <v>#N/A</v>
      </c>
      <c r="J45" s="121" t="e">
        <f>IF(NOT(ISNA(H45)),COUNTIF($I$21:I45,$E$16),NA())</f>
        <v>#N/A</v>
      </c>
      <c r="K45" s="118" t="e">
        <f ca="1">IF(ISNA(I45),NA(),COUNTIF($I$21:I45,$F$16))</f>
        <v>#N/A</v>
      </c>
    </row>
  </sheetData>
  <mergeCells count="4">
    <mergeCell ref="D35:F36"/>
    <mergeCell ref="G5:G10"/>
    <mergeCell ref="D14:F14"/>
    <mergeCell ref="H14:K14"/>
  </mergeCells>
  <conditionalFormatting sqref="H21:K45">
    <cfRule type="expression" dxfId="1" priority="1" stopIfTrue="1">
      <formula>ISNA(H21)</formula>
    </cfRule>
  </conditionalFormatting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733BC-E586-2A49-9356-A34DFB27F4C8}">
  <dimension ref="B1:N61"/>
  <sheetViews>
    <sheetView workbookViewId="0"/>
  </sheetViews>
  <sheetFormatPr defaultColWidth="11" defaultRowHeight="15.95"/>
  <cols>
    <col min="1" max="1" width="4.125" customWidth="1"/>
    <col min="2" max="3" width="12.375" customWidth="1"/>
    <col min="4" max="6" width="16.625" customWidth="1"/>
    <col min="7" max="7" width="17.875" customWidth="1"/>
    <col min="10" max="10" width="18.375" customWidth="1"/>
    <col min="11" max="12" width="18.125" customWidth="1"/>
  </cols>
  <sheetData>
    <row r="1" spans="2:11" s="181" customFormat="1" ht="44.1" customHeight="1">
      <c r="B1" s="180" t="s">
        <v>37</v>
      </c>
    </row>
    <row r="2" spans="2:11" ht="17.100000000000001" thickBot="1"/>
    <row r="3" spans="2:11" ht="17.100000000000001" thickBot="1">
      <c r="B3" s="87" t="s">
        <v>38</v>
      </c>
      <c r="C3" s="86"/>
      <c r="D3" s="92">
        <v>10</v>
      </c>
      <c r="E3" s="213" t="s">
        <v>39</v>
      </c>
      <c r="F3" s="212"/>
      <c r="G3" s="212"/>
    </row>
    <row r="4" spans="2:11" ht="17.100000000000001" thickBot="1"/>
    <row r="5" spans="2:11" ht="17.100000000000001" customHeight="1" thickBot="1">
      <c r="B5" s="87" t="s">
        <v>19</v>
      </c>
      <c r="C5" s="88"/>
      <c r="D5" s="89" t="s">
        <v>20</v>
      </c>
      <c r="E5" s="90" t="s">
        <v>21</v>
      </c>
      <c r="F5" s="91" t="s">
        <v>22</v>
      </c>
    </row>
    <row r="6" spans="2:11" ht="15.95" customHeight="1">
      <c r="B6" s="77" t="str">
        <f>'Tableaux Proba'!K9</f>
        <v>N</v>
      </c>
      <c r="C6" s="78" t="str">
        <f>'Tableaux Proba'!L9</f>
        <v>B</v>
      </c>
      <c r="D6" s="79">
        <f>'Tableaux Proba'!K11</f>
        <v>0.58333333333333337</v>
      </c>
      <c r="E6" s="80">
        <f>'Tableaux Proba'!L11</f>
        <v>0.41666666666666669</v>
      </c>
      <c r="F6" s="113" t="s">
        <v>24</v>
      </c>
      <c r="G6" s="211" t="s">
        <v>23</v>
      </c>
      <c r="H6" s="184"/>
    </row>
    <row r="7" spans="2:11">
      <c r="B7" s="70" t="str">
        <f>'Tableaux Proba'!K18</f>
        <v>B</v>
      </c>
      <c r="C7" s="71" t="str">
        <f>'Tableaux Proba'!L18</f>
        <v>W</v>
      </c>
      <c r="D7" s="68">
        <f>'Tableaux Proba'!K20</f>
        <v>0.69444444444444442</v>
      </c>
      <c r="E7" s="75">
        <f>'Tableaux Proba'!L20</f>
        <v>0.30555555555555558</v>
      </c>
      <c r="F7" s="114"/>
      <c r="G7" s="211"/>
      <c r="H7" s="184"/>
    </row>
    <row r="8" spans="2:11" ht="17.100000000000001" thickBot="1">
      <c r="B8" s="72" t="str">
        <f>'Tableaux Proba'!K27</f>
        <v>W</v>
      </c>
      <c r="C8" s="73" t="str">
        <f>'Tableaux Proba'!L27</f>
        <v>N</v>
      </c>
      <c r="D8" s="69">
        <f>'Tableaux Proba'!K29</f>
        <v>0.58333333333333337</v>
      </c>
      <c r="E8" s="76">
        <f>'Tableaux Proba'!L29</f>
        <v>0.41666666666666669</v>
      </c>
      <c r="F8" s="115"/>
      <c r="G8" s="211"/>
      <c r="H8" s="184"/>
    </row>
    <row r="9" spans="2:11" ht="26.1" customHeight="1">
      <c r="B9" s="174" t="str">
        <f>'Tableaux Proba'!AC9</f>
        <v>2B</v>
      </c>
      <c r="C9" s="176" t="str">
        <f>'Tableaux Proba'!AB9</f>
        <v>2N</v>
      </c>
      <c r="D9" s="79">
        <f>'Tableaux Proba'!AC11</f>
        <v>0.59027777777777779</v>
      </c>
      <c r="E9" s="80">
        <f>'Tableaux Proba'!AB11</f>
        <v>0.40972222222222221</v>
      </c>
      <c r="F9" s="113"/>
      <c r="G9" s="211"/>
      <c r="H9" s="184"/>
    </row>
    <row r="10" spans="2:11">
      <c r="B10" s="177" t="str">
        <f>'Tableaux Proba'!AC18</f>
        <v>2W</v>
      </c>
      <c r="C10" s="175" t="str">
        <f>'Tableaux Proba'!AB18</f>
        <v>2B</v>
      </c>
      <c r="D10" s="68">
        <f>'Tableaux Proba'!AC20</f>
        <v>0.51774691358024694</v>
      </c>
      <c r="E10" s="75">
        <f>'Tableaux Proba'!AB20</f>
        <v>0.48225308641975306</v>
      </c>
      <c r="F10" s="114"/>
      <c r="G10" s="211"/>
      <c r="H10" s="184"/>
    </row>
    <row r="11" spans="2:11" ht="17.100000000000001" thickBot="1">
      <c r="B11" s="179" t="str">
        <f>'Tableaux Proba'!AC27</f>
        <v>2N</v>
      </c>
      <c r="C11" s="178" t="str">
        <f>'Tableaux Proba'!AB27</f>
        <v>2W</v>
      </c>
      <c r="D11" s="69">
        <f>'Tableaux Proba'!AC29</f>
        <v>0.59027777777777779</v>
      </c>
      <c r="E11" s="76">
        <f>'Tableaux Proba'!AB29</f>
        <v>0.40972222222222221</v>
      </c>
      <c r="F11" s="115"/>
      <c r="G11" s="211"/>
      <c r="H11" s="184"/>
    </row>
    <row r="12" spans="2:11">
      <c r="F12" s="74" cm="1">
        <f t="array" ref="F12">MATCH(TRUE,IFERROR(F6:F11,0)&lt;&gt;0,0)+ROW(B5)</f>
        <v>6</v>
      </c>
    </row>
    <row r="15" spans="2:11" ht="33.950000000000003" customHeight="1">
      <c r="D15" s="212" t="s">
        <v>25</v>
      </c>
      <c r="E15" s="212"/>
      <c r="F15" s="212"/>
      <c r="H15" s="210" t="s">
        <v>40</v>
      </c>
      <c r="I15" s="210"/>
      <c r="J15" s="210"/>
      <c r="K15" s="210"/>
    </row>
    <row r="16" spans="2:11" ht="17.100000000000001" customHeight="1" thickBot="1"/>
    <row r="17" spans="3:14" ht="18" customHeight="1" thickBot="1">
      <c r="D17" s="83" t="s">
        <v>41</v>
      </c>
      <c r="E17" s="83" t="str">
        <f>"Premier à "&amp;D3&amp;" points"</f>
        <v>Premier à 10 points</v>
      </c>
      <c r="F17" s="4"/>
      <c r="H17" s="82" t="s">
        <v>30</v>
      </c>
      <c r="I17" s="86"/>
      <c r="J17" s="86"/>
      <c r="K17" s="116">
        <f ca="1">RAND()+0*NOW()</f>
        <v>0.9393802191876115</v>
      </c>
      <c r="M17" s="183"/>
      <c r="N17" s="183"/>
    </row>
    <row r="18" spans="3:14">
      <c r="D18" s="85" t="s">
        <v>22</v>
      </c>
      <c r="E18" s="93" t="str" cm="1">
        <f t="array" aca="1" ref="E18" ca="1">INDIRECT(ADDRESS($F$12,COLUMN(B$5),2))</f>
        <v>N</v>
      </c>
      <c r="F18" s="94" t="str" cm="1">
        <f t="array" aca="1" ref="F18" ca="1">INDIRECT(ADDRESS($F$12,COLUMN(C$5),2))</f>
        <v>B</v>
      </c>
      <c r="L18" s="183"/>
      <c r="M18" s="183"/>
      <c r="N18" s="183"/>
    </row>
    <row r="19" spans="3:14" ht="17.100000000000001" thickBot="1">
      <c r="D19" s="84" t="s">
        <v>29</v>
      </c>
      <c r="E19" s="20" cm="1">
        <f t="array" aca="1" ref="E19" ca="1">INDIRECT(ADDRESS($F$12,COLUMN(D$5),2))</f>
        <v>0.58333333333333337</v>
      </c>
      <c r="F19" s="21" cm="1">
        <f t="array" aca="1" ref="F19" ca="1">INDIRECT(ADDRESS($F$12,COLUMN(E$5),2))</f>
        <v>0.41666666666666669</v>
      </c>
      <c r="H19" s="207" t="s">
        <v>32</v>
      </c>
      <c r="I19" s="122" t="str" cm="1">
        <f t="array" aca="1" ref="I19" ca="1">INDEX($I$22:$I$60,39-COUNTIF($I$22:$I$60,NA()))</f>
        <v>N</v>
      </c>
      <c r="L19" s="183"/>
      <c r="M19" s="183"/>
      <c r="N19" s="183"/>
    </row>
    <row r="20" spans="3:14" ht="17.100000000000001" thickBot="1"/>
    <row r="21" spans="3:14" ht="69" thickBot="1">
      <c r="D21" s="109" t="s">
        <v>33</v>
      </c>
      <c r="E21" s="110" t="str">
        <f ca="1">"Probabilité pour "&amp;E18&amp;" de faire exactement "&amp;D3&amp;" points en x lancers"</f>
        <v>Probabilité pour N de faire exactement 10 points en x lancers</v>
      </c>
      <c r="F21" s="111" t="str">
        <f ca="1">"Probabilité pour "&amp;E18&amp;" de gagner le match après x lancers"</f>
        <v>Probabilité pour N de gagner le match après x lancers</v>
      </c>
      <c r="H21" s="109" t="s">
        <v>34</v>
      </c>
      <c r="I21" s="110" t="s">
        <v>35</v>
      </c>
      <c r="J21" s="111" t="str">
        <f ca="1">"Nb de points pour "&amp;E18</f>
        <v>Nb de points pour N</v>
      </c>
      <c r="K21" s="109" t="str">
        <f ca="1">"Nb de points pour "&amp;F18</f>
        <v>Nb de points pour B</v>
      </c>
    </row>
    <row r="22" spans="3:14">
      <c r="D22" s="100">
        <f>D3</f>
        <v>10</v>
      </c>
      <c r="E22" s="96">
        <f ca="1">IF(D22="","",_xlfn.BINOM.DIST($D$3-1,D22-1,$E$19,FALSE)*$E$19)</f>
        <v>4.5621329741699374E-3</v>
      </c>
      <c r="F22" s="97">
        <f ca="1">IF(E22="","",SUM($E$22:E22))</f>
        <v>4.5621329741699374E-3</v>
      </c>
      <c r="H22" s="100">
        <v>1</v>
      </c>
      <c r="I22" s="83" t="str">
        <f ca="1">IF(RAND() &lt; $E$19, E18,F18)</f>
        <v>B</v>
      </c>
      <c r="J22" s="120">
        <f ca="1">COUNTIF($I$22:I22,$E$18)</f>
        <v>0</v>
      </c>
      <c r="K22" s="4">
        <f ca="1">IF(I22="","",COUNTIF($I$22:I22,$F$18))</f>
        <v>1</v>
      </c>
    </row>
    <row r="23" spans="3:14">
      <c r="D23" s="103">
        <f t="shared" ref="D23:D41" si="0">IF(D22&lt;2*$D$3-1,D22+1,"")</f>
        <v>11</v>
      </c>
      <c r="E23" s="104">
        <f ca="1">IF(D23="","",_xlfn.BINOM.DIST($D$3-1,D23-1,$E$19,FALSE)*$E$19)</f>
        <v>1.9008887392374718E-2</v>
      </c>
      <c r="F23" s="105">
        <f ca="1">IF(E23="","",SUM($E$22:E23))</f>
        <v>2.3571020366544654E-2</v>
      </c>
      <c r="H23" s="101">
        <f t="shared" ref="H23:H40" si="1">IF(H22&lt;2*$D$3-1,H22+1,NA())</f>
        <v>2</v>
      </c>
      <c r="I23" s="98" t="str">
        <f ca="1">IF(AND(J22&lt;$D$3,K22&lt;$D$3),IF(RAND() &lt; $E$19, $E$18, $F$18),NA())</f>
        <v>N</v>
      </c>
      <c r="J23" s="119">
        <f ca="1">IF(AND(J22&lt;$D$3,K22&lt;$D$3),COUNTIF($I$22:I23,$E$18),NA())</f>
        <v>1</v>
      </c>
      <c r="K23" s="117">
        <f ca="1">IF(ISNA(I23),NA(),COUNTIF($I$22:I23,$F$18))</f>
        <v>1</v>
      </c>
    </row>
    <row r="24" spans="3:14">
      <c r="D24" s="101">
        <f t="shared" si="0"/>
        <v>12</v>
      </c>
      <c r="E24" s="95">
        <f ca="1">IF(D24="","",_xlfn.BINOM.DIST($D$3-1,D24-1,$E$19,FALSE)*$E$19)</f>
        <v>4.3562033607525412E-2</v>
      </c>
      <c r="F24" s="99">
        <f ca="1">IF(E24="","",SUM($E$22:E24))</f>
        <v>6.7133053974070073E-2</v>
      </c>
      <c r="H24" s="101">
        <f t="shared" si="1"/>
        <v>3</v>
      </c>
      <c r="I24" s="98" t="str">
        <f ca="1">IF(AND(J23&lt;$D$3,K23&lt;$D$3),IF(RAND() &lt; $E$19, $E$18, $F$18),NA())</f>
        <v>N</v>
      </c>
      <c r="J24" s="119">
        <f ca="1">IF(AND(J23&lt;$D$3,K23&lt;$D$3),COUNTIF($I$22:I24,$E$18),NA())</f>
        <v>2</v>
      </c>
      <c r="K24" s="117">
        <f ca="1">IF(ISNA(I24),NA(),COUNTIF($I$22:I24,$F$18))</f>
        <v>1</v>
      </c>
    </row>
    <row r="25" spans="3:14">
      <c r="D25" s="103">
        <f t="shared" si="0"/>
        <v>13</v>
      </c>
      <c r="E25" s="104">
        <f ca="1">IF(D25="","",_xlfn.BINOM.DIST($D$3-1,D25-1,$E$19,FALSE)*$E$19)</f>
        <v>7.2603389345875652E-2</v>
      </c>
      <c r="F25" s="105">
        <f ca="1">IF(E25="","",SUM($E$22:E25))</f>
        <v>0.13973644331994572</v>
      </c>
      <c r="H25" s="101">
        <f t="shared" si="1"/>
        <v>4</v>
      </c>
      <c r="I25" s="98" t="str">
        <f ca="1">IF(AND(J24&lt;$D$3,K24&lt;$D$3),IF(RAND() &lt; $E$19, $E$18, $F$18),NA())</f>
        <v>N</v>
      </c>
      <c r="J25" s="119">
        <f ca="1">IF(AND(J24&lt;$D$3,K24&lt;$D$3),COUNTIF($I$22:I25,$E$18),NA())</f>
        <v>3</v>
      </c>
      <c r="K25" s="117">
        <f ca="1">IF(ISNA(I25),NA(),COUNTIF($I$22:I25,$F$18))</f>
        <v>1</v>
      </c>
    </row>
    <row r="26" spans="3:14">
      <c r="C26" s="2"/>
      <c r="D26" s="101">
        <f t="shared" si="0"/>
        <v>14</v>
      </c>
      <c r="E26" s="95">
        <f ca="1">IF(D26="","",_xlfn.BINOM.DIST($D$3-1,D26-1,$E$19,FALSE)*$E$19)</f>
        <v>9.8317089739206623E-2</v>
      </c>
      <c r="F26" s="99">
        <f ca="1">IF(E26="","",SUM($E$22:E26))</f>
        <v>0.23805353305915233</v>
      </c>
      <c r="H26" s="101">
        <f t="shared" si="1"/>
        <v>5</v>
      </c>
      <c r="I26" s="98" t="str">
        <f ca="1">IF(AND(J25&lt;$D$3,K25&lt;$D$3),IF(RAND() &lt; $E$19, $E$18, $F$18),NA())</f>
        <v>B</v>
      </c>
      <c r="J26" s="119">
        <f ca="1">IF(AND(J25&lt;$D$3,K25&lt;$D$3),COUNTIF($I$22:I26,$E$18),NA())</f>
        <v>3</v>
      </c>
      <c r="K26" s="117">
        <f ca="1">IF(ISNA(I26),NA(),COUNTIF($I$22:I26,$F$18))</f>
        <v>2</v>
      </c>
    </row>
    <row r="27" spans="3:14">
      <c r="C27" s="2"/>
      <c r="D27" s="103">
        <f t="shared" si="0"/>
        <v>15</v>
      </c>
      <c r="E27" s="104">
        <f ca="1">IF(D27="","",_xlfn.BINOM.DIST($D$3-1,D27-1,$E$19,FALSE)*$E$19)</f>
        <v>0.11470327136240772</v>
      </c>
      <c r="F27" s="105">
        <f ca="1">IF(E27="","",SUM($E$22:E27))</f>
        <v>0.35275680442156004</v>
      </c>
      <c r="H27" s="101">
        <f t="shared" si="1"/>
        <v>6</v>
      </c>
      <c r="I27" s="98" t="str">
        <f ca="1">IF(AND(J26&lt;$D$3,K26&lt;$D$3),IF(RAND() &lt; $E$19, $E$18, $F$18),NA())</f>
        <v>N</v>
      </c>
      <c r="J27" s="119">
        <f ca="1">IF(AND(J26&lt;$D$3,K26&lt;$D$3),COUNTIF($I$22:I27,$E$18),NA())</f>
        <v>4</v>
      </c>
      <c r="K27" s="117">
        <f ca="1">IF(ISNA(I27),NA(),COUNTIF($I$22:I27,$F$18))</f>
        <v>2</v>
      </c>
    </row>
    <row r="28" spans="3:14">
      <c r="C28" s="2"/>
      <c r="D28" s="101">
        <f t="shared" si="0"/>
        <v>16</v>
      </c>
      <c r="E28" s="95">
        <f ca="1">IF(D28="","",_xlfn.BINOM.DIST($D$3-1,D28-1,$E$19,FALSE)*$E$19)</f>
        <v>0.11948257433584134</v>
      </c>
      <c r="F28" s="99">
        <f ca="1">IF(E28="","",SUM($E$22:E28))</f>
        <v>0.47223937875740141</v>
      </c>
      <c r="H28" s="101">
        <f t="shared" si="1"/>
        <v>7</v>
      </c>
      <c r="I28" s="98" t="str">
        <f ca="1">IF(AND(J27&lt;$D$3,K27&lt;$D$3),IF(RAND() &lt; $E$19, $E$18, $F$18),NA())</f>
        <v>B</v>
      </c>
      <c r="J28" s="119">
        <f ca="1">IF(AND(J27&lt;$D$3,K27&lt;$D$3),COUNTIF($I$22:I28,$E$18),NA())</f>
        <v>4</v>
      </c>
      <c r="K28" s="117">
        <f ca="1">IF(ISNA(I28),NA(),COUNTIF($I$22:I28,$F$18))</f>
        <v>3</v>
      </c>
    </row>
    <row r="29" spans="3:14">
      <c r="C29" s="2"/>
      <c r="D29" s="103">
        <f t="shared" si="0"/>
        <v>17</v>
      </c>
      <c r="E29" s="104">
        <f ca="1">IF(D29="","",_xlfn.BINOM.DIST($D$3-1,D29-1,$E$19,FALSE)*$E$19)</f>
        <v>0.11379292793889649</v>
      </c>
      <c r="F29" s="105">
        <f ca="1">IF(E29="","",SUM($E$22:E29))</f>
        <v>0.58603230669629791</v>
      </c>
      <c r="H29" s="101">
        <f t="shared" si="1"/>
        <v>8</v>
      </c>
      <c r="I29" s="98" t="str">
        <f ca="1">IF(AND(J28&lt;$D$3,K28&lt;$D$3),IF(RAND() &lt; $E$19, $E$18, $F$18),NA())</f>
        <v>B</v>
      </c>
      <c r="J29" s="119">
        <f ca="1">IF(AND(J28&lt;$D$3,K28&lt;$D$3),COUNTIF($I$22:I29,$E$18),NA())</f>
        <v>4</v>
      </c>
      <c r="K29" s="117">
        <f ca="1">IF(ISNA(I29),NA(),COUNTIF($I$22:I29,$F$18))</f>
        <v>4</v>
      </c>
    </row>
    <row r="30" spans="3:14">
      <c r="C30" s="2"/>
      <c r="D30" s="101">
        <f t="shared" si="0"/>
        <v>18</v>
      </c>
      <c r="E30" s="95">
        <f ca="1">IF(D30="","",_xlfn.BINOM.DIST($D$3-1,D30-1,$E$19,FALSE)*$E$19)</f>
        <v>0.10075415494589796</v>
      </c>
      <c r="F30" s="99">
        <f ca="1">IF(E30="","",SUM($E$22:E30))</f>
        <v>0.68678646164219592</v>
      </c>
      <c r="H30" s="101">
        <f t="shared" si="1"/>
        <v>9</v>
      </c>
      <c r="I30" s="98" t="str">
        <f ca="1">IF(AND(J29&lt;$D$3,K29&lt;$D$3),IF(RAND() &lt; $E$19, $E$18, $F$18),NA())</f>
        <v>N</v>
      </c>
      <c r="J30" s="119">
        <f ca="1">IF(AND(J29&lt;$D$3,K29&lt;$D$3),COUNTIF($I$22:I30,$E$18),NA())</f>
        <v>5</v>
      </c>
      <c r="K30" s="117">
        <f ca="1">IF(ISNA(I30),NA(),COUNTIF($I$22:I30,$F$18))</f>
        <v>4</v>
      </c>
    </row>
    <row r="31" spans="3:14">
      <c r="C31" s="2"/>
      <c r="D31" s="103">
        <f t="shared" si="0"/>
        <v>19</v>
      </c>
      <c r="E31" s="104">
        <f ca="1">IF(D31="","",_xlfn.BINOM.DIST($D$3-1,D31-1,$E$19,FALSE)*$E$19)</f>
        <v>8.3961795788248278E-2</v>
      </c>
      <c r="F31" s="105">
        <f ca="1">IF(E31="","",SUM($E$22:E31))</f>
        <v>0.77074825743044417</v>
      </c>
      <c r="H31" s="101">
        <f t="shared" si="1"/>
        <v>10</v>
      </c>
      <c r="I31" s="98" t="str">
        <f ca="1">IF(AND(J30&lt;$D$3,K30&lt;$D$3),IF(RAND() &lt; $E$19, $E$18, $F$18),NA())</f>
        <v>N</v>
      </c>
      <c r="J31" s="119">
        <f ca="1">IF(AND(J30&lt;$D$3,K30&lt;$D$3),COUNTIF($I$22:I31,$E$18),NA())</f>
        <v>6</v>
      </c>
      <c r="K31" s="117">
        <f ca="1">IF(ISNA(I31),NA(),COUNTIF($I$22:I31,$F$18))</f>
        <v>4</v>
      </c>
    </row>
    <row r="32" spans="3:14">
      <c r="C32" s="2"/>
      <c r="D32" s="101" t="str">
        <f t="shared" si="0"/>
        <v/>
      </c>
      <c r="E32" s="95" t="str">
        <f>IF(D32="","",_xlfn.BINOM.DIST($D$3-1,D32-1,$E$19,FALSE)*$E$19)</f>
        <v/>
      </c>
      <c r="F32" s="99" t="str">
        <f>IF(E32="","",SUM($E$22:E32))</f>
        <v/>
      </c>
      <c r="H32" s="101">
        <f t="shared" si="1"/>
        <v>11</v>
      </c>
      <c r="I32" s="98" t="str">
        <f ca="1">IF(AND(J31&lt;$D$3,K31&lt;$D$3),IF(RAND() &lt; $E$19, $E$18, $F$18),NA())</f>
        <v>B</v>
      </c>
      <c r="J32" s="119">
        <f ca="1">IF(AND(J31&lt;$D$3,K31&lt;$D$3),COUNTIF($I$22:I32,$E$18),NA())</f>
        <v>6</v>
      </c>
      <c r="K32" s="117">
        <f ca="1">IF(ISNA(I32),NA(),COUNTIF($I$22:I32,$F$18))</f>
        <v>5</v>
      </c>
    </row>
    <row r="33" spans="3:11">
      <c r="C33" s="2"/>
      <c r="D33" s="103" t="str">
        <f t="shared" si="0"/>
        <v/>
      </c>
      <c r="E33" s="104" t="str">
        <f>IF(D33="","",_xlfn.BINOM.DIST($D$3-1,D33-1,$E$19,FALSE)*$E$19)</f>
        <v/>
      </c>
      <c r="F33" s="105" t="str">
        <f>IF(E33="","",SUM($E$22:E33))</f>
        <v/>
      </c>
      <c r="H33" s="101">
        <f t="shared" si="1"/>
        <v>12</v>
      </c>
      <c r="I33" s="98" t="str">
        <f ca="1">IF(AND(J32&lt;$D$3,K32&lt;$D$3),IF(RAND() &lt; $E$19, $E$18, $F$18),NA())</f>
        <v>N</v>
      </c>
      <c r="J33" s="119">
        <f ca="1">IF(AND(J32&lt;$D$3,K32&lt;$D$3),COUNTIF($I$22:I33,$E$18),NA())</f>
        <v>7</v>
      </c>
      <c r="K33" s="117">
        <f ca="1">IF(ISNA(I33),NA(),COUNTIF($I$22:I33,$F$18))</f>
        <v>5</v>
      </c>
    </row>
    <row r="34" spans="3:11">
      <c r="C34" s="2"/>
      <c r="D34" s="101" t="str">
        <f t="shared" si="0"/>
        <v/>
      </c>
      <c r="E34" s="95" t="str">
        <f>IF(D34="","",_xlfn.BINOM.DIST($D$3-1,D34-1,$E$19,FALSE)*$E$19)</f>
        <v/>
      </c>
      <c r="F34" s="99" t="str">
        <f>IF(E34="","",SUM($E$22:E34))</f>
        <v/>
      </c>
      <c r="H34" s="101">
        <f t="shared" si="1"/>
        <v>13</v>
      </c>
      <c r="I34" s="98" t="str">
        <f ca="1">IF(AND(J33&lt;$D$3,K33&lt;$D$3),IF(RAND() &lt; $E$19, $E$18, $F$18),NA())</f>
        <v>N</v>
      </c>
      <c r="J34" s="119">
        <f ca="1">IF(AND(J33&lt;$D$3,K33&lt;$D$3),COUNTIF($I$22:I34,$E$18),NA())</f>
        <v>8</v>
      </c>
      <c r="K34" s="117">
        <f ca="1">IF(ISNA(I34),NA(),COUNTIF($I$22:I34,$F$18))</f>
        <v>5</v>
      </c>
    </row>
    <row r="35" spans="3:11">
      <c r="C35" s="2"/>
      <c r="D35" s="103" t="str">
        <f t="shared" si="0"/>
        <v/>
      </c>
      <c r="E35" s="104" t="str">
        <f>IF(D35="","",_xlfn.BINOM.DIST($D$3-1,D35-1,$E$19,FALSE)*$E$19)</f>
        <v/>
      </c>
      <c r="F35" s="105" t="str">
        <f>IF(E35="","",SUM($E$22:E35))</f>
        <v/>
      </c>
      <c r="H35" s="101">
        <f t="shared" si="1"/>
        <v>14</v>
      </c>
      <c r="I35" s="98" t="str">
        <f ca="1">IF(AND(J34&lt;$D$3,K34&lt;$D$3),IF(RAND() &lt; $E$19, $E$18, $F$18),NA())</f>
        <v>B</v>
      </c>
      <c r="J35" s="119">
        <f ca="1">IF(AND(J34&lt;$D$3,K34&lt;$D$3),COUNTIF($I$22:I35,$E$18),NA())</f>
        <v>8</v>
      </c>
      <c r="K35" s="117">
        <f ca="1">IF(ISNA(I35),NA(),COUNTIF($I$22:I35,$F$18))</f>
        <v>6</v>
      </c>
    </row>
    <row r="36" spans="3:11">
      <c r="C36" s="2"/>
      <c r="D36" s="101" t="str">
        <f t="shared" si="0"/>
        <v/>
      </c>
      <c r="E36" s="95" t="str">
        <f>IF(D36="","",_xlfn.BINOM.DIST($D$3-1,D36-1,$E$19,FALSE)*$E$19)</f>
        <v/>
      </c>
      <c r="F36" s="99" t="str">
        <f>IF(E36="","",SUM($E$22:E36))</f>
        <v/>
      </c>
      <c r="H36" s="101">
        <f t="shared" si="1"/>
        <v>15</v>
      </c>
      <c r="I36" s="98" t="str">
        <f ca="1">IF(AND(J35&lt;$D$3,K35&lt;$D$3),IF(RAND() &lt; $E$19, $E$18, $F$18),NA())</f>
        <v>N</v>
      </c>
      <c r="J36" s="119">
        <f ca="1">IF(AND(J35&lt;$D$3,K35&lt;$D$3),COUNTIF($I$22:I36,$E$18),NA())</f>
        <v>9</v>
      </c>
      <c r="K36" s="117">
        <f ca="1">IF(ISNA(I36),NA(),COUNTIF($I$22:I36,$F$18))</f>
        <v>6</v>
      </c>
    </row>
    <row r="37" spans="3:11">
      <c r="C37" s="2"/>
      <c r="D37" s="103" t="str">
        <f t="shared" si="0"/>
        <v/>
      </c>
      <c r="E37" s="104" t="str">
        <f>IF(D37="","",_xlfn.BINOM.DIST($D$3-1,D37-1,$E$19,FALSE)*$E$19)</f>
        <v/>
      </c>
      <c r="F37" s="105" t="str">
        <f>IF(E37="","",SUM($E$22:E37))</f>
        <v/>
      </c>
      <c r="H37" s="101">
        <f t="shared" si="1"/>
        <v>16</v>
      </c>
      <c r="I37" s="98" t="str">
        <f ca="1">IF(AND(J36&lt;$D$3,K36&lt;$D$3),IF(RAND() &lt; $E$19, $E$18, $F$18),NA())</f>
        <v>B</v>
      </c>
      <c r="J37" s="119">
        <f ca="1">IF(AND(J36&lt;$D$3,K36&lt;$D$3),COUNTIF($I$22:I37,$E$18),NA())</f>
        <v>9</v>
      </c>
      <c r="K37" s="117">
        <f ca="1">IF(ISNA(I37),NA(),COUNTIF($I$22:I37,$F$18))</f>
        <v>7</v>
      </c>
    </row>
    <row r="38" spans="3:11">
      <c r="C38" s="2"/>
      <c r="D38" s="101" t="str">
        <f t="shared" si="0"/>
        <v/>
      </c>
      <c r="E38" s="95" t="str">
        <f>IF(D38="","",_xlfn.BINOM.DIST($D$3-1,D38-1,$E$19,FALSE)*$E$19)</f>
        <v/>
      </c>
      <c r="F38" s="99" t="str">
        <f>IF(E38="","",SUM($E$22:E38))</f>
        <v/>
      </c>
      <c r="H38" s="101">
        <f t="shared" si="1"/>
        <v>17</v>
      </c>
      <c r="I38" s="98" t="str">
        <f ca="1">IF(AND(J37&lt;$D$3,K37&lt;$D$3),IF(RAND() &lt; $E$19, $E$18, $F$18),NA())</f>
        <v>B</v>
      </c>
      <c r="J38" s="119">
        <f ca="1">IF(AND(J37&lt;$D$3,K37&lt;$D$3),COUNTIF($I$22:I38,$E$18),NA())</f>
        <v>9</v>
      </c>
      <c r="K38" s="117">
        <f ca="1">IF(ISNA(I38),NA(),COUNTIF($I$22:I38,$F$18))</f>
        <v>8</v>
      </c>
    </row>
    <row r="39" spans="3:11">
      <c r="C39" s="1"/>
      <c r="D39" s="103" t="str">
        <f t="shared" si="0"/>
        <v/>
      </c>
      <c r="E39" s="104" t="str">
        <f>IF(D39="","",_xlfn.BINOM.DIST($D$3-1,D39-1,$E$19,FALSE)*$E$19)</f>
        <v/>
      </c>
      <c r="F39" s="105" t="str">
        <f>IF(E39="","",SUM($E$22:E39))</f>
        <v/>
      </c>
      <c r="H39" s="101">
        <f t="shared" si="1"/>
        <v>18</v>
      </c>
      <c r="I39" s="98" t="str">
        <f ca="1">IF(AND(J38&lt;$D$3,K38&lt;$D$3),IF(RAND() &lt; $E$19, $E$18, $F$18),NA())</f>
        <v>B</v>
      </c>
      <c r="J39" s="119">
        <f ca="1">IF(AND(J38&lt;$D$3,K38&lt;$D$3),COUNTIF($I$22:I39,$E$18),NA())</f>
        <v>9</v>
      </c>
      <c r="K39" s="117">
        <f ca="1">IF(ISNA(I39),NA(),COUNTIF($I$22:I39,$F$18))</f>
        <v>9</v>
      </c>
    </row>
    <row r="40" spans="3:11">
      <c r="C40" s="1"/>
      <c r="D40" s="101" t="str">
        <f t="shared" si="0"/>
        <v/>
      </c>
      <c r="E40" s="95" t="str">
        <f>IF(D40="","",_xlfn.BINOM.DIST($D$3-1,D40-1,$E$19,FALSE)*$E$19)</f>
        <v/>
      </c>
      <c r="F40" s="99" t="str">
        <f>IF(E40="","",SUM($E$22:E40))</f>
        <v/>
      </c>
      <c r="H40" s="101">
        <f t="shared" si="1"/>
        <v>19</v>
      </c>
      <c r="I40" s="98" t="str">
        <f ca="1">IF(AND(J39&lt;$D$3,K39&lt;$D$3),IF(RAND() &lt; $E$19, $E$18, $F$18),NA())</f>
        <v>N</v>
      </c>
      <c r="J40" s="119">
        <f ca="1">IF(AND(J39&lt;$D$3,K39&lt;$D$3),COUNTIF($I$22:I40,$E$18),NA())</f>
        <v>10</v>
      </c>
      <c r="K40" s="117">
        <f ca="1">IF(ISNA(I40),NA(),COUNTIF($I$22:I40,$F$18))</f>
        <v>9</v>
      </c>
    </row>
    <row r="41" spans="3:11" ht="17.100000000000001" thickBot="1">
      <c r="C41" s="1"/>
      <c r="D41" s="106" t="str">
        <f t="shared" si="0"/>
        <v/>
      </c>
      <c r="E41" s="107" t="str">
        <f>IF(D41="","",_xlfn.BINOM.DIST($D$3-1,D41-1,$E$19,FALSE)*$E$19)</f>
        <v/>
      </c>
      <c r="F41" s="108" t="str">
        <f>IF(E41="","",SUM($E$22:E41))</f>
        <v/>
      </c>
      <c r="H41" s="101" t="e">
        <f>IF(H40&lt;2*$D$3-1,H40+1,NA())</f>
        <v>#N/A</v>
      </c>
      <c r="I41" s="98" t="e">
        <f ca="1">IF(AND(J40&lt;$D$3,K40&lt;$D$3),IF(RAND() &lt; $E$19, $E$18, $F$18),NA())</f>
        <v>#N/A</v>
      </c>
      <c r="J41" s="119" t="e">
        <f ca="1">IF(AND(J40&lt;$D$3,K40&lt;$D$3),COUNTIF($I$22:I41,$E$18),NA())</f>
        <v>#N/A</v>
      </c>
      <c r="K41" s="117" t="e">
        <f ca="1">IF(ISNA(I41),NA(),COUNTIF($I$22:I41,$F$18))</f>
        <v>#N/A</v>
      </c>
    </row>
    <row r="42" spans="3:11">
      <c r="C42" s="1"/>
      <c r="D42" s="3"/>
      <c r="E42" s="209"/>
      <c r="H42" s="101" t="e">
        <f t="shared" ref="H42:H60" si="2">IF(H41&lt;2*$D$3-1,H41+1,NA())</f>
        <v>#N/A</v>
      </c>
      <c r="I42" s="98" t="e">
        <f ca="1">IF(AND(J41&lt;$D$3,K41&lt;$D$3),IF(RAND() &lt; $E$19, $E$18, $F$18),NA())</f>
        <v>#N/A</v>
      </c>
      <c r="J42" s="119" t="e">
        <f ca="1">IF(AND(J41&lt;$D$3,K41&lt;$D$3),COUNTIF($I$22:I42,$E$18),NA())</f>
        <v>#N/A</v>
      </c>
      <c r="K42" s="117" t="e">
        <f ca="1">IF(ISNA(I42),NA(),COUNTIF($I$22:I42,$F$18))</f>
        <v>#N/A</v>
      </c>
    </row>
    <row r="43" spans="3:11">
      <c r="C43" s="1"/>
      <c r="D43" s="3"/>
      <c r="H43" s="101" t="e">
        <f t="shared" si="2"/>
        <v>#N/A</v>
      </c>
      <c r="I43" s="98" t="e">
        <f ca="1">IF(AND(J42&lt;$D$3,K42&lt;$D$3),IF(RAND() &lt; $E$19, $E$18, $F$18),NA())</f>
        <v>#N/A</v>
      </c>
      <c r="J43" s="119" t="e">
        <f ca="1">IF(AND(J42&lt;$D$3,K42&lt;$D$3),COUNTIF($I$22:I43,$E$18),NA())</f>
        <v>#N/A</v>
      </c>
      <c r="K43" s="117" t="e">
        <f ca="1">IF(ISNA(I43),NA(),COUNTIF($I$22:I43,$F$18))</f>
        <v>#N/A</v>
      </c>
    </row>
    <row r="44" spans="3:11">
      <c r="C44" s="1"/>
      <c r="D44" s="3"/>
      <c r="H44" s="101" t="e">
        <f t="shared" si="2"/>
        <v>#N/A</v>
      </c>
      <c r="I44" s="98" t="e">
        <f ca="1">IF(AND(J43&lt;$D$3,K43&lt;$D$3),IF(RAND() &lt; $E$19, $E$18, $F$18),NA())</f>
        <v>#N/A</v>
      </c>
      <c r="J44" s="119" t="e">
        <f ca="1">IF(AND(J43&lt;$D$3,K43&lt;$D$3),COUNTIF($I$22:I44,$E$18),NA())</f>
        <v>#N/A</v>
      </c>
      <c r="K44" s="117" t="e">
        <f ca="1">IF(ISNA(I44),NA(),COUNTIF($I$22:I44,$F$18))</f>
        <v>#N/A</v>
      </c>
    </row>
    <row r="45" spans="3:11">
      <c r="H45" s="101" t="e">
        <f t="shared" si="2"/>
        <v>#N/A</v>
      </c>
      <c r="I45" s="98" t="e">
        <f ca="1">IF(AND(J44&lt;$D$3,K44&lt;$D$3),IF(RAND() &lt; $E$19, $E$18, $F$18),NA())</f>
        <v>#N/A</v>
      </c>
      <c r="J45" s="119" t="e">
        <f ca="1">IF(AND(J44&lt;$D$3,K44&lt;$D$3),COUNTIF($I$22:I45,$E$18),NA())</f>
        <v>#N/A</v>
      </c>
      <c r="K45" s="117" t="e">
        <f ca="1">IF(ISNA(I45),NA(),COUNTIF($I$22:I45,$F$18))</f>
        <v>#N/A</v>
      </c>
    </row>
    <row r="46" spans="3:11">
      <c r="H46" s="101" t="e">
        <f t="shared" si="2"/>
        <v>#N/A</v>
      </c>
      <c r="I46" s="98" t="e">
        <f ca="1">IF(AND(J45&lt;$D$3,K45&lt;$D$3),IF(RAND() &lt; $E$19, $E$18, $F$18),NA())</f>
        <v>#N/A</v>
      </c>
      <c r="J46" s="119" t="e">
        <f ca="1">IF(AND(J45&lt;$D$3,K45&lt;$D$3),COUNTIF($I$22:I46,$E$18),NA())</f>
        <v>#N/A</v>
      </c>
      <c r="K46" s="117" t="e">
        <f ca="1">IF(ISNA(I46),NA(),COUNTIF($I$22:I46,$F$18))</f>
        <v>#N/A</v>
      </c>
    </row>
    <row r="47" spans="3:11">
      <c r="H47" s="101" t="e">
        <f t="shared" si="2"/>
        <v>#N/A</v>
      </c>
      <c r="I47" s="98" t="e">
        <f ca="1">IF(AND(J46&lt;$D$3,K46&lt;$D$3),IF(RAND() &lt; $E$19, $E$18, $F$18),NA())</f>
        <v>#N/A</v>
      </c>
      <c r="J47" s="119" t="e">
        <f ca="1">IF(AND(J46&lt;$D$3,K46&lt;$D$3),COUNTIF($I$22:I47,$E$18),NA())</f>
        <v>#N/A</v>
      </c>
      <c r="K47" s="117" t="e">
        <f ca="1">IF(ISNA(I47),NA(),COUNTIF($I$22:I47,$F$18))</f>
        <v>#N/A</v>
      </c>
    </row>
    <row r="48" spans="3:11">
      <c r="H48" s="101" t="e">
        <f t="shared" si="2"/>
        <v>#N/A</v>
      </c>
      <c r="I48" s="98" t="e">
        <f ca="1">IF(AND(J47&lt;$D$3,K47&lt;$D$3),IF(RAND() &lt; $E$19, $E$18, $F$18),NA())</f>
        <v>#N/A</v>
      </c>
      <c r="J48" s="119" t="e">
        <f ca="1">IF(AND(J47&lt;$D$3,K47&lt;$D$3),COUNTIF($I$22:I48,$E$18),NA())</f>
        <v>#N/A</v>
      </c>
      <c r="K48" s="117" t="e">
        <f ca="1">IF(ISNA(I48),NA(),COUNTIF($I$22:I48,$F$18))</f>
        <v>#N/A</v>
      </c>
    </row>
    <row r="49" spans="8:11">
      <c r="H49" s="101" t="e">
        <f t="shared" si="2"/>
        <v>#N/A</v>
      </c>
      <c r="I49" s="98" t="e">
        <f ca="1">IF(AND(J48&lt;$D$3,K48&lt;$D$3),IF(RAND() &lt; $E$19, $E$18, $F$18),NA())</f>
        <v>#N/A</v>
      </c>
      <c r="J49" s="119" t="e">
        <f ca="1">IF(AND(J48&lt;$D$3,K48&lt;$D$3),COUNTIF($I$22:I49,$E$18),NA())</f>
        <v>#N/A</v>
      </c>
      <c r="K49" s="117" t="e">
        <f ca="1">IF(ISNA(I49),NA(),COUNTIF($I$22:I49,$F$18))</f>
        <v>#N/A</v>
      </c>
    </row>
    <row r="50" spans="8:11">
      <c r="H50" s="101" t="e">
        <f t="shared" si="2"/>
        <v>#N/A</v>
      </c>
      <c r="I50" s="98" t="e">
        <f ca="1">IF(AND(J49&lt;$D$3,K49&lt;$D$3),IF(RAND() &lt; $E$19, $E$18, $F$18),NA())</f>
        <v>#N/A</v>
      </c>
      <c r="J50" s="119" t="e">
        <f ca="1">IF(AND(J49&lt;$D$3,K49&lt;$D$3),COUNTIF($I$22:I50,$E$18),NA())</f>
        <v>#N/A</v>
      </c>
      <c r="K50" s="117" t="e">
        <f ca="1">IF(ISNA(I50),NA(),COUNTIF($I$22:I50,$F$18))</f>
        <v>#N/A</v>
      </c>
    </row>
    <row r="51" spans="8:11">
      <c r="H51" s="101" t="e">
        <f t="shared" si="2"/>
        <v>#N/A</v>
      </c>
      <c r="I51" s="98" t="e">
        <f ca="1">IF(AND(J50&lt;$D$3,K50&lt;$D$3),IF(RAND() &lt; $E$19, $E$18, $F$18),NA())</f>
        <v>#N/A</v>
      </c>
      <c r="J51" s="119" t="e">
        <f ca="1">IF(AND(J50&lt;$D$3,K50&lt;$D$3),COUNTIF($I$22:I51,$E$18),NA())</f>
        <v>#N/A</v>
      </c>
      <c r="K51" s="117" t="e">
        <f ca="1">IF(ISNA(I51),NA(),COUNTIF($I$22:I51,$F$18))</f>
        <v>#N/A</v>
      </c>
    </row>
    <row r="52" spans="8:11">
      <c r="H52" s="101" t="e">
        <f t="shared" si="2"/>
        <v>#N/A</v>
      </c>
      <c r="I52" s="98" t="e">
        <f ca="1">IF(AND(J51&lt;$D$3,K51&lt;$D$3),IF(RAND() &lt; $E$19, $E$18, $F$18),NA())</f>
        <v>#N/A</v>
      </c>
      <c r="J52" s="119" t="e">
        <f ca="1">IF(AND(J51&lt;$D$3,K51&lt;$D$3),COUNTIF($I$22:I52,$E$18),NA())</f>
        <v>#N/A</v>
      </c>
      <c r="K52" s="117" t="e">
        <f ca="1">IF(ISNA(I52),NA(),COUNTIF($I$22:I52,$F$18))</f>
        <v>#N/A</v>
      </c>
    </row>
    <row r="53" spans="8:11">
      <c r="H53" s="101" t="e">
        <f t="shared" si="2"/>
        <v>#N/A</v>
      </c>
      <c r="I53" s="98" t="e">
        <f ca="1">IF(AND(J52&lt;$D$3,K52&lt;$D$3),IF(RAND() &lt; $E$19, $E$18, $F$18),NA())</f>
        <v>#N/A</v>
      </c>
      <c r="J53" s="119" t="e">
        <f ca="1">IF(AND(J52&lt;$D$3,K52&lt;$D$3),COUNTIF($I$22:I53,$E$18),NA())</f>
        <v>#N/A</v>
      </c>
      <c r="K53" s="117" t="e">
        <f ca="1">IF(ISNA(I53),NA(),COUNTIF($I$22:I53,$F$18))</f>
        <v>#N/A</v>
      </c>
    </row>
    <row r="54" spans="8:11">
      <c r="H54" s="101" t="e">
        <f t="shared" si="2"/>
        <v>#N/A</v>
      </c>
      <c r="I54" s="98" t="e">
        <f ca="1">IF(AND(J53&lt;$D$3,K53&lt;$D$3),IF(RAND() &lt; $E$19, $E$18, $F$18),NA())</f>
        <v>#N/A</v>
      </c>
      <c r="J54" s="119" t="e">
        <f ca="1">IF(AND(J53&lt;$D$3,K53&lt;$D$3),COUNTIF($I$22:I54,$E$18),NA())</f>
        <v>#N/A</v>
      </c>
      <c r="K54" s="117" t="e">
        <f ca="1">IF(ISNA(I54),NA(),COUNTIF($I$22:I54,$F$18))</f>
        <v>#N/A</v>
      </c>
    </row>
    <row r="55" spans="8:11">
      <c r="H55" s="101" t="e">
        <f t="shared" si="2"/>
        <v>#N/A</v>
      </c>
      <c r="I55" s="98" t="e">
        <f ca="1">IF(AND(J54&lt;$D$3,K54&lt;$D$3),IF(RAND() &lt; $E$19, $E$18, $F$18),NA())</f>
        <v>#N/A</v>
      </c>
      <c r="J55" s="119" t="e">
        <f ca="1">IF(AND(J54&lt;$D$3,K54&lt;$D$3),COUNTIF($I$22:I55,$E$18),NA())</f>
        <v>#N/A</v>
      </c>
      <c r="K55" s="117" t="e">
        <f ca="1">IF(ISNA(I55),NA(),COUNTIF($I$22:I55,$F$18))</f>
        <v>#N/A</v>
      </c>
    </row>
    <row r="56" spans="8:11">
      <c r="H56" s="101" t="e">
        <f t="shared" si="2"/>
        <v>#N/A</v>
      </c>
      <c r="I56" s="98" t="e">
        <f ca="1">IF(AND(J55&lt;$D$3,K55&lt;$D$3),IF(RAND() &lt; $E$19, $E$18, $F$18),NA())</f>
        <v>#N/A</v>
      </c>
      <c r="J56" s="119" t="e">
        <f ca="1">IF(AND(J55&lt;$D$3,K55&lt;$D$3),COUNTIF($I$22:I56,$E$18),NA())</f>
        <v>#N/A</v>
      </c>
      <c r="K56" s="117" t="e">
        <f ca="1">IF(ISNA(I56),NA(),COUNTIF($I$22:I56,$F$18))</f>
        <v>#N/A</v>
      </c>
    </row>
    <row r="57" spans="8:11">
      <c r="H57" s="101" t="e">
        <f t="shared" si="2"/>
        <v>#N/A</v>
      </c>
      <c r="I57" s="98" t="e">
        <f ca="1">IF(AND(J56&lt;$D$3,K56&lt;$D$3),IF(RAND() &lt; $E$19, $E$18, $F$18),NA())</f>
        <v>#N/A</v>
      </c>
      <c r="J57" s="119" t="e">
        <f ca="1">IF(AND(J56&lt;$D$3,K56&lt;$D$3),COUNTIF($I$22:I57,$E$18),NA())</f>
        <v>#N/A</v>
      </c>
      <c r="K57" s="117" t="e">
        <f ca="1">IF(ISNA(I57),NA(),COUNTIF($I$22:I57,$F$18))</f>
        <v>#N/A</v>
      </c>
    </row>
    <row r="58" spans="8:11">
      <c r="H58" s="101" t="e">
        <f t="shared" si="2"/>
        <v>#N/A</v>
      </c>
      <c r="I58" s="98" t="e">
        <f ca="1">IF(AND(J57&lt;$D$3,K57&lt;$D$3),IF(RAND() &lt; $E$19, $E$18, $F$18),NA())</f>
        <v>#N/A</v>
      </c>
      <c r="J58" s="119" t="e">
        <f ca="1">IF(AND(J57&lt;$D$3,K57&lt;$D$3),COUNTIF($I$22:I58,$E$18),NA())</f>
        <v>#N/A</v>
      </c>
      <c r="K58" s="117" t="e">
        <f ca="1">IF(ISNA(I58),NA(),COUNTIF($I$22:I58,$F$18))</f>
        <v>#N/A</v>
      </c>
    </row>
    <row r="59" spans="8:11">
      <c r="H59" s="101" t="e">
        <f t="shared" si="2"/>
        <v>#N/A</v>
      </c>
      <c r="I59" s="98" t="e">
        <f ca="1">IF(AND(J58&lt;$D$3,K58&lt;$D$3),IF(RAND() &lt; $E$19, $E$18, $F$18),NA())</f>
        <v>#N/A</v>
      </c>
      <c r="J59" s="119" t="e">
        <f ca="1">IF(AND(J58&lt;$D$3,K58&lt;$D$3),COUNTIF($I$22:I59,$E$18),NA())</f>
        <v>#N/A</v>
      </c>
      <c r="K59" s="117" t="e">
        <f ca="1">IF(ISNA(I59),NA(),COUNTIF($I$22:I59,$F$18))</f>
        <v>#N/A</v>
      </c>
    </row>
    <row r="60" spans="8:11" ht="17.100000000000001" thickBot="1">
      <c r="H60" s="102" t="e">
        <f t="shared" si="2"/>
        <v>#N/A</v>
      </c>
      <c r="I60" s="84" t="e">
        <f ca="1">IF(AND(J59&lt;$D$3,K59&lt;$D$3),IF(RAND() &lt; $E$19, $E$18, $F$18),NA())</f>
        <v>#N/A</v>
      </c>
      <c r="J60" s="121" t="e">
        <f ca="1">IF(AND(J59&lt;$D$3,K59&lt;$D$3),COUNTIF($I$22:I60,$E$18),NA())</f>
        <v>#N/A</v>
      </c>
      <c r="K60" s="118" t="e">
        <f ca="1">IF(ISNA(I60),NA(),COUNTIF($I$22:I60,$F$18))</f>
        <v>#N/A</v>
      </c>
    </row>
    <row r="61" spans="8:11">
      <c r="K61" t="str">
        <f>IF(I61="","",COUNTIF($I$22:I61,0))</f>
        <v/>
      </c>
    </row>
  </sheetData>
  <mergeCells count="4">
    <mergeCell ref="E3:G3"/>
    <mergeCell ref="D15:F15"/>
    <mergeCell ref="H15:K15"/>
    <mergeCell ref="G6:G11"/>
  </mergeCells>
  <conditionalFormatting sqref="H22:K60">
    <cfRule type="expression" dxfId="0" priority="1" stopIfTrue="1">
      <formula>ISNA(H22)</formula>
    </cfRule>
  </conditionalFormatting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58f191-1fe1-4530-a814-e020af032ba3">
      <Terms xmlns="http://schemas.microsoft.com/office/infopath/2007/PartnerControls"/>
    </lcf76f155ced4ddcb4097134ff3c332f>
    <TaxCatchAll xmlns="2a129ef1-8376-4fca-97d1-f16953445f5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0FEF3B74D57A4FAED21E3DB8061F23" ma:contentTypeVersion="12" ma:contentTypeDescription="Crée un document." ma:contentTypeScope="" ma:versionID="1f5809f41ea1be80ab70b79d54f5279e">
  <xsd:schema xmlns:xsd="http://www.w3.org/2001/XMLSchema" xmlns:xs="http://www.w3.org/2001/XMLSchema" xmlns:p="http://schemas.microsoft.com/office/2006/metadata/properties" xmlns:ns2="f458f191-1fe1-4530-a814-e020af032ba3" xmlns:ns3="2a129ef1-8376-4fca-97d1-f16953445f5b" targetNamespace="http://schemas.microsoft.com/office/2006/metadata/properties" ma:root="true" ma:fieldsID="87c6006e19c3141b48fbc814ca44a561" ns2:_="" ns3:_="">
    <xsd:import namespace="f458f191-1fe1-4530-a814-e020af032ba3"/>
    <xsd:import namespace="2a129ef1-8376-4fca-97d1-f16953445f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58f191-1fe1-4530-a814-e020af032b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326a1a01-f002-4b1f-9617-625d2f60aa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29ef1-8376-4fca-97d1-f16953445f5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30bfe03-77de-4509-a22c-f62b70cec178}" ma:internalName="TaxCatchAll" ma:showField="CatchAllData" ma:web="2a129ef1-8376-4fca-97d1-f16953445f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68369B-5FBF-441E-A87E-56734BCF5CCF}"/>
</file>

<file path=customXml/itemProps2.xml><?xml version="1.0" encoding="utf-8"?>
<ds:datastoreItem xmlns:ds="http://schemas.openxmlformats.org/officeDocument/2006/customXml" ds:itemID="{8A6D3E1B-C8AF-4F05-9A3C-928846D98B02}"/>
</file>

<file path=customXml/itemProps3.xml><?xml version="1.0" encoding="utf-8"?>
<ds:datastoreItem xmlns:ds="http://schemas.openxmlformats.org/officeDocument/2006/customXml" ds:itemID="{969B7C04-E631-477D-BCE1-4F285D7546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Shaula Fiorelli</dc:creator>
  <cp:keywords/>
  <dc:description/>
  <cp:lastModifiedBy>Pauline Baudat</cp:lastModifiedBy>
  <cp:revision/>
  <dcterms:created xsi:type="dcterms:W3CDTF">2025-11-20T15:52:20Z</dcterms:created>
  <dcterms:modified xsi:type="dcterms:W3CDTF">2026-02-05T14:39:06Z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0x0101003F0FEF3B74D57A4FAED21E3DB8061F23</vt:lpwstr>
  </property>
  <property fmtid="{D5CDD505-2E9C-101B-9397-08002B2CF9AE}" pid="3" name="MediaServiceImageTags">
    <vt:lpwstr/>
  </property>
</Properties>
</file>